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09_Ch9REVISED_PredictiveDataMining_JeffO\Solutions\ExcelSolutionsKeys\"/>
    </mc:Choice>
  </mc:AlternateContent>
  <bookViews>
    <workbookView xWindow="0" yWindow="0" windowWidth="28800" windowHeight="12435" firstSheet="2" activeTab="5"/>
  </bookViews>
  <sheets>
    <sheet name="Data" sheetId="3" r:id="rId1"/>
    <sheet name="Data_Partition" sheetId="9" r:id="rId2"/>
    <sheet name="KNNC_Output" sheetId="14" r:id="rId3"/>
    <sheet name="KNNC_TrainingLiftChart" sheetId="13" r:id="rId4"/>
    <sheet name="KNNC_ValidationLiftChart" sheetId="12" r:id="rId5"/>
    <sheet name="KNNC_NewScore" sheetId="11" r:id="rId6"/>
    <sheet name="KNNC_Stored" sheetId="10" r:id="rId7"/>
    <sheet name="Customer" sheetId="8" r:id="rId8"/>
  </sheets>
  <definedNames>
    <definedName name="solver_typ" localSheetId="0" hidden="1">2</definedName>
    <definedName name="solver_ver" localSheetId="0" hidden="1">15</definedName>
    <definedName name="xlm_602_1" localSheetId="1">"'{""wkbk"":""Sandhills.xlsx"",""wksheet"":""Data_Partition"",""data_range"":"""",""has_header"":true,""cat_cols"":[],""firstRow"":-1,""rows"":1000,""train_rows"":600,""validation_rows"":400,""test_rows"":0,""trainingDataRange"":""$B$21:$C$620"",""validationDataRange"":""$B$621:$C$1020"","""</definedName>
    <definedName name="xlm_602_2" localSheetId="1">"'allDataRange"":""$B$20:$C$1020"",""isPartitionSheet"":true,""numOutputClasses"":2,""useSuccessClass"":true,""successClass"":""1"",""successCutoffProb"":0.5,""partitionData"":false,""newDataDatabase"":false,""newDataWorksheet"":true,""newDataWorksheetParams"":{""newDataWorkbook"""</definedName>
    <definedName name="xlm_602_3" localSheetId="1">"':""Sandhills.xlsx"",""newDataWorksheet"":""Customer"",""newDataRange"":""$B$1:$B$201"",""newDataNumRowsWS"":200,""newDataNumCols"":1,""newHasHeader"":true},""normalizeInputData"":true,""numNearestNeighbors"":20,""scoreOptCode"":1,""priorClassProbabilityCode"":0,""trainDetailRpt"""</definedName>
    <definedName name="xlm_602_4" localSheetId="1">"':false,""trainSummaryRpt"":true,""trainLiftChart"":true,""trainROCCurve"":true,""validationDetailRpt"":false,""validationSummaryRpt"":true,""validationLiftChart"":true,""validROCCurve"":true,""testDetailRpt"":false,""testSummaryRpt"":false,""testLiftChart"":false,""testROCCu"</definedName>
    <definedName name="xlm_602_5" localSheetId="1">"'rve"":false}"</definedName>
    <definedName name="xlm_603_1" localSheetId="0">"'{""wkbk"":""Sandhills.xlsx"",""wksheet"":""Data"",""data_range"":""$B$1:$C$51"",""has_header"":true,""cat_cols"":[],""firstRow"":1,""rows"":50,""train_rows"":50,""validation_rows"":0,""test_rows"":0,""isPartitionSheet"":false,""numOutputClasses"":2,""useSuccessClass"":true,""successClas"</definedName>
    <definedName name="xlm_603_2" localSheetId="0">"'s"":""1"",""successCutoffProb"":0.5,""partitionData"":false,""newDataDatabase"":false,""newDataWorksheet"":false,""varSelectionOnly"":false,""forceConstTermToZero"":false,""setOddsConfidenceLevel"":false,""maxNumIterations"":50,""initialMarquardtFactor"":1,""performCollineari"</definedName>
    <definedName name="xlm_603_3" localSheetId="0">"'tyDiags"":false,""perfBestSubsetSel"":false,""outputTrainDataCovarMatrixOfCoeffs"":false,""outputTrainDataResiduals"":false,""trainDetailRpt"":false,""trainSummaryRpt"":true,""trainLiftChart"":true,""trainROCCurve"":true,""validationDetailRpt"":false,""validationSummaryRp"</definedName>
    <definedName name="xlm_603_4" localSheetId="0">"'t"":false,""validationLiftChart"":false,""validROCCurve"":false,""testDetailRpt"":false,""testSummaryRpt"":false,""testLiftChart"":false,""testROCCurve"":false}"</definedName>
    <definedName name="xlm_90_1" localSheetId="0">"'{""wkbk"":""Sandhills.xlsx"",""wksheet"":""Data"",""data_range"":""$A$1:$C$1001"",""has_header"":true,""input_cols"":[{""varName"":""Balance""},{""varName"":""Direct""}],""cat_cols"":[],""firstRow"":1,""rows"":1000,""isPartitionSheet"":false,""usePartitionVar"":false,""partitionVar"":null,"</definedName>
    <definedName name="xlm_90_2" localSheetId="0">"'""useRandomRows"":true,""partitionCode"":0,""setSeed"":true,""seedValue"":12345,""trainPct"":60,""validationPct"":40,""testPct"":0}"</definedName>
    <definedName name="xlm_clnc_1" localSheetId="0">"'{""input_cols"":[{""varName"":""Balance""}],""output_var"":{""varName"":""Direct""}}"</definedName>
    <definedName name="xlm_clnc_1" localSheetId="1">"'{""input_cols"":[{""varName"":""Balance""}],""output_var"":{""varName"":""Direct""}}"</definedName>
    <definedName name="XLMFullModelDefinition" localSheetId="6" hidden="1">"B3:G613"</definedName>
    <definedName name="XLMModelDefinition" localSheetId="6" hidden="1">"B3:C18"</definedName>
    <definedName name="XLMModelInputVars" localSheetId="6" hidden="1">"F3:F3"</definedName>
    <definedName name="XLMModelInputVarsRole" localSheetId="6" hidden="1">"F4:G4"</definedName>
    <definedName name="XLMModelTypeId" localSheetId="6" hidden="1">10</definedName>
    <definedName name="XLMPartitionAllData" localSheetId="1" hidden="1">"$B$20:$C$1020"</definedName>
    <definedName name="XLMPartitionTrainingData" localSheetId="1" hidden="1">"$B$21:$C$620"</definedName>
    <definedName name="XLMPartitionType" localSheetId="1" hidden="1">0</definedName>
    <definedName name="XLMPartitionValidationData" localSheetId="1" hidden="1">"$B$621:$C$1020"</definedName>
    <definedName name="XLMPartitionVariableNames" localSheetId="1" hidden="1">"$E$11:$F$11"</definedName>
  </definedNames>
  <calcPr calcId="162913"/>
</workbook>
</file>

<file path=xl/calcChain.xml><?xml version="1.0" encoding="utf-8"?>
<calcChain xmlns="http://schemas.openxmlformats.org/spreadsheetml/2006/main">
  <c r="BA600" i="14" l="1"/>
  <c r="BA599" i="14"/>
  <c r="BA598" i="14"/>
  <c r="BA597" i="14"/>
  <c r="BA596" i="14"/>
  <c r="BA595" i="14"/>
  <c r="BA594" i="14"/>
  <c r="BA593" i="14"/>
  <c r="BA592" i="14"/>
  <c r="BA591" i="14"/>
  <c r="BA590" i="14"/>
  <c r="BA589" i="14"/>
  <c r="BA588" i="14"/>
  <c r="BA587" i="14"/>
  <c r="BA586" i="14"/>
  <c r="BA585" i="14"/>
  <c r="BA584" i="14"/>
  <c r="BA583" i="14"/>
  <c r="BA582" i="14"/>
  <c r="BA581" i="14"/>
  <c r="BA580" i="14"/>
  <c r="BA579" i="14"/>
  <c r="BA578" i="14"/>
  <c r="BA577" i="14"/>
  <c r="BA576" i="14"/>
  <c r="BA575" i="14"/>
  <c r="BA574" i="14"/>
  <c r="BA573" i="14"/>
  <c r="BA572" i="14"/>
  <c r="BA571" i="14"/>
  <c r="BA570" i="14"/>
  <c r="BA569" i="14"/>
  <c r="BA568" i="14"/>
  <c r="BA567" i="14"/>
  <c r="BA566" i="14"/>
  <c r="BA565" i="14"/>
  <c r="BA564" i="14"/>
  <c r="BA563" i="14"/>
  <c r="BA562" i="14"/>
  <c r="BA561" i="14"/>
  <c r="BA560" i="14"/>
  <c r="BA559" i="14"/>
  <c r="BA558" i="14"/>
  <c r="BA557" i="14"/>
  <c r="BA556" i="14"/>
  <c r="BA555" i="14"/>
  <c r="BA554" i="14"/>
  <c r="BA553" i="14"/>
  <c r="BA552" i="14"/>
  <c r="BA551" i="14"/>
  <c r="BA550" i="14"/>
  <c r="BA549" i="14"/>
  <c r="BA548" i="14"/>
  <c r="BA547" i="14"/>
  <c r="BA546" i="14"/>
  <c r="BA545" i="14"/>
  <c r="BA544" i="14"/>
  <c r="BA543" i="14"/>
  <c r="BA542" i="14"/>
  <c r="BA541" i="14"/>
  <c r="BA540" i="14"/>
  <c r="BA539" i="14"/>
  <c r="BA538" i="14"/>
  <c r="BA537" i="14"/>
  <c r="BA536" i="14"/>
  <c r="BA535" i="14"/>
  <c r="BA534" i="14"/>
  <c r="BA533" i="14"/>
  <c r="BA532" i="14"/>
  <c r="BA531" i="14"/>
  <c r="BA530" i="14"/>
  <c r="BA529" i="14"/>
  <c r="BA528" i="14"/>
  <c r="BA527" i="14"/>
  <c r="BA526" i="14"/>
  <c r="BA525" i="14"/>
  <c r="BA524" i="14"/>
  <c r="BA523" i="14"/>
  <c r="BA522" i="14"/>
  <c r="BA521" i="14"/>
  <c r="BA520" i="14"/>
  <c r="BA519" i="14"/>
  <c r="BA518" i="14"/>
  <c r="BA517" i="14"/>
  <c r="BA516" i="14"/>
  <c r="BA515" i="14"/>
  <c r="BA514" i="14"/>
  <c r="BA513" i="14"/>
  <c r="BA512" i="14"/>
  <c r="BA511" i="14"/>
  <c r="BA510" i="14"/>
  <c r="BA509" i="14"/>
  <c r="BA508" i="14"/>
  <c r="BA507" i="14"/>
  <c r="BA506" i="14"/>
  <c r="BA505" i="14"/>
  <c r="BA504" i="14"/>
  <c r="BA503" i="14"/>
  <c r="BA502" i="14"/>
  <c r="BA501" i="14"/>
  <c r="BA500" i="14"/>
  <c r="BA499" i="14"/>
  <c r="BA498" i="14"/>
  <c r="BA497" i="14"/>
  <c r="BA496" i="14"/>
  <c r="BA495" i="14"/>
  <c r="BA494" i="14"/>
  <c r="BA493" i="14"/>
  <c r="BA492" i="14"/>
  <c r="BA491" i="14"/>
  <c r="BA490" i="14"/>
  <c r="BA489" i="14"/>
  <c r="BA488" i="14"/>
  <c r="BA487" i="14"/>
  <c r="BA486" i="14"/>
  <c r="BA485" i="14"/>
  <c r="BA484" i="14"/>
  <c r="BA483" i="14"/>
  <c r="BA482" i="14"/>
  <c r="BA481" i="14"/>
  <c r="BA480" i="14"/>
  <c r="BA479" i="14"/>
  <c r="BA478" i="14"/>
  <c r="BA477" i="14"/>
  <c r="BA476" i="14"/>
  <c r="BA475" i="14"/>
  <c r="BA474" i="14"/>
  <c r="BA473" i="14"/>
  <c r="BA472" i="14"/>
  <c r="BA471" i="14"/>
  <c r="BA470" i="14"/>
  <c r="BA469" i="14"/>
  <c r="BA468" i="14"/>
  <c r="BA467" i="14"/>
  <c r="BA466" i="14"/>
  <c r="BA465" i="14"/>
  <c r="BA464" i="14"/>
  <c r="BA463" i="14"/>
  <c r="BA462" i="14"/>
  <c r="BA461" i="14"/>
  <c r="BA460" i="14"/>
  <c r="BA459" i="14"/>
  <c r="BA458" i="14"/>
  <c r="BA457" i="14"/>
  <c r="BA456" i="14"/>
  <c r="BA455" i="14"/>
  <c r="BA454" i="14"/>
  <c r="BA453" i="14"/>
  <c r="BA452" i="14"/>
  <c r="BA451" i="14"/>
  <c r="BA450" i="14"/>
  <c r="BA449" i="14"/>
  <c r="BA448" i="14"/>
  <c r="BA447" i="14"/>
  <c r="BA446" i="14"/>
  <c r="BA445" i="14"/>
  <c r="BA444" i="14"/>
  <c r="BA443" i="14"/>
  <c r="BA442" i="14"/>
  <c r="BA441" i="14"/>
  <c r="BA440" i="14"/>
  <c r="BA439" i="14"/>
  <c r="BA438" i="14"/>
  <c r="BA437" i="14"/>
  <c r="BA436" i="14"/>
  <c r="BA435" i="14"/>
  <c r="BA434" i="14"/>
  <c r="BA433" i="14"/>
  <c r="BA432" i="14"/>
  <c r="BA431" i="14"/>
  <c r="BA430" i="14"/>
  <c r="BA429" i="14"/>
  <c r="BA428" i="14"/>
  <c r="BA427" i="14"/>
  <c r="BA426" i="14"/>
  <c r="BA425" i="14"/>
  <c r="BA424" i="14"/>
  <c r="BA423" i="14"/>
  <c r="BA422" i="14"/>
  <c r="BA421" i="14"/>
  <c r="BA420" i="14"/>
  <c r="BA419" i="14"/>
  <c r="BA418" i="14"/>
  <c r="BA417" i="14"/>
  <c r="BA416" i="14"/>
  <c r="BA415" i="14"/>
  <c r="BA414" i="14"/>
  <c r="BA413" i="14"/>
  <c r="BA412" i="14"/>
  <c r="BA411" i="14"/>
  <c r="BA410" i="14"/>
  <c r="BA409" i="14"/>
  <c r="BA408" i="14"/>
  <c r="BA407" i="14"/>
  <c r="BA406" i="14"/>
  <c r="BA405" i="14"/>
  <c r="BA404" i="14"/>
  <c r="BA403" i="14"/>
  <c r="BA402" i="14"/>
  <c r="BA401" i="14"/>
  <c r="BF400" i="14"/>
  <c r="BA400" i="14"/>
  <c r="BF399" i="14"/>
  <c r="BA399" i="14"/>
  <c r="BF398" i="14"/>
  <c r="BA398" i="14"/>
  <c r="BF397" i="14"/>
  <c r="BA397" i="14"/>
  <c r="BF396" i="14"/>
  <c r="BA396" i="14"/>
  <c r="BF395" i="14"/>
  <c r="BA395" i="14"/>
  <c r="BF394" i="14"/>
  <c r="BA394" i="14"/>
  <c r="BF393" i="14"/>
  <c r="BA393" i="14"/>
  <c r="BF392" i="14"/>
  <c r="BA392" i="14"/>
  <c r="BF391" i="14"/>
  <c r="BA391" i="14"/>
  <c r="BF390" i="14"/>
  <c r="BA390" i="14"/>
  <c r="BF389" i="14"/>
  <c r="BA389" i="14"/>
  <c r="BF388" i="14"/>
  <c r="BA388" i="14"/>
  <c r="BF387" i="14"/>
  <c r="BA387" i="14"/>
  <c r="BF386" i="14"/>
  <c r="BA386" i="14"/>
  <c r="BF385" i="14"/>
  <c r="BA385" i="14"/>
  <c r="BF384" i="14"/>
  <c r="BA384" i="14"/>
  <c r="BF383" i="14"/>
  <c r="BA383" i="14"/>
  <c r="BF382" i="14"/>
  <c r="BA382" i="14"/>
  <c r="BF381" i="14"/>
  <c r="BA381" i="14"/>
  <c r="BF380" i="14"/>
  <c r="BA380" i="14"/>
  <c r="BF379" i="14"/>
  <c r="BA379" i="14"/>
  <c r="BF378" i="14"/>
  <c r="BA378" i="14"/>
  <c r="BF377" i="14"/>
  <c r="BA377" i="14"/>
  <c r="BF376" i="14"/>
  <c r="BA376" i="14"/>
  <c r="BF375" i="14"/>
  <c r="BA375" i="14"/>
  <c r="BF374" i="14"/>
  <c r="BA374" i="14"/>
  <c r="BF373" i="14"/>
  <c r="BA373" i="14"/>
  <c r="BF372" i="14"/>
  <c r="BA372" i="14"/>
  <c r="BF371" i="14"/>
  <c r="BA371" i="14"/>
  <c r="BF370" i="14"/>
  <c r="BA370" i="14"/>
  <c r="BF369" i="14"/>
  <c r="BA369" i="14"/>
  <c r="BF368" i="14"/>
  <c r="BA368" i="14"/>
  <c r="BF367" i="14"/>
  <c r="BA367" i="14"/>
  <c r="BF366" i="14"/>
  <c r="BA366" i="14"/>
  <c r="BF365" i="14"/>
  <c r="BA365" i="14"/>
  <c r="BF364" i="14"/>
  <c r="BA364" i="14"/>
  <c r="BF363" i="14"/>
  <c r="BA363" i="14"/>
  <c r="BF362" i="14"/>
  <c r="BA362" i="14"/>
  <c r="BF361" i="14"/>
  <c r="BA361" i="14"/>
  <c r="BF360" i="14"/>
  <c r="BA360" i="14"/>
  <c r="BF359" i="14"/>
  <c r="BA359" i="14"/>
  <c r="BF358" i="14"/>
  <c r="BA358" i="14"/>
  <c r="BF357" i="14"/>
  <c r="BA357" i="14"/>
  <c r="BF356" i="14"/>
  <c r="BA356" i="14"/>
  <c r="BF355" i="14"/>
  <c r="BA355" i="14"/>
  <c r="BF354" i="14"/>
  <c r="BA354" i="14"/>
  <c r="BF353" i="14"/>
  <c r="BA353" i="14"/>
  <c r="BF352" i="14"/>
  <c r="BA352" i="14"/>
  <c r="BF351" i="14"/>
  <c r="BA351" i="14"/>
  <c r="BF350" i="14"/>
  <c r="BA350" i="14"/>
  <c r="BF349" i="14"/>
  <c r="BA349" i="14"/>
  <c r="BF348" i="14"/>
  <c r="BA348" i="14"/>
  <c r="BF347" i="14"/>
  <c r="BA347" i="14"/>
  <c r="BF346" i="14"/>
  <c r="BA346" i="14"/>
  <c r="BF345" i="14"/>
  <c r="BA345" i="14"/>
  <c r="BF344" i="14"/>
  <c r="BA344" i="14"/>
  <c r="BF343" i="14"/>
  <c r="BA343" i="14"/>
  <c r="BF342" i="14"/>
  <c r="BA342" i="14"/>
  <c r="BF341" i="14"/>
  <c r="BA341" i="14"/>
  <c r="BF340" i="14"/>
  <c r="BA340" i="14"/>
  <c r="BF339" i="14"/>
  <c r="BA339" i="14"/>
  <c r="BF338" i="14"/>
  <c r="BA338" i="14"/>
  <c r="BF337" i="14"/>
  <c r="BA337" i="14"/>
  <c r="BF336" i="14"/>
  <c r="BA336" i="14"/>
  <c r="BF335" i="14"/>
  <c r="BA335" i="14"/>
  <c r="BF334" i="14"/>
  <c r="BA334" i="14"/>
  <c r="BF333" i="14"/>
  <c r="BA333" i="14"/>
  <c r="BF332" i="14"/>
  <c r="BA332" i="14"/>
  <c r="BF331" i="14"/>
  <c r="BA331" i="14"/>
  <c r="BF330" i="14"/>
  <c r="BA330" i="14"/>
  <c r="BF329" i="14"/>
  <c r="BA329" i="14"/>
  <c r="BF328" i="14"/>
  <c r="BA328" i="14"/>
  <c r="BF327" i="14"/>
  <c r="BA327" i="14"/>
  <c r="BF326" i="14"/>
  <c r="BA326" i="14"/>
  <c r="BF325" i="14"/>
  <c r="BA325" i="14"/>
  <c r="BF324" i="14"/>
  <c r="BA324" i="14"/>
  <c r="BF323" i="14"/>
  <c r="BA323" i="14"/>
  <c r="BF322" i="14"/>
  <c r="BA322" i="14"/>
  <c r="BF321" i="14"/>
  <c r="BA321" i="14"/>
  <c r="BF320" i="14"/>
  <c r="BA320" i="14"/>
  <c r="BF319" i="14"/>
  <c r="BA319" i="14"/>
  <c r="BF318" i="14"/>
  <c r="BA318" i="14"/>
  <c r="BF317" i="14"/>
  <c r="BA317" i="14"/>
  <c r="BF316" i="14"/>
  <c r="BA316" i="14"/>
  <c r="BF315" i="14"/>
  <c r="BA315" i="14"/>
  <c r="BF314" i="14"/>
  <c r="BA314" i="14"/>
  <c r="BF313" i="14"/>
  <c r="BA313" i="14"/>
  <c r="BF312" i="14"/>
  <c r="BA312" i="14"/>
  <c r="BF311" i="14"/>
  <c r="BA311" i="14"/>
  <c r="BF310" i="14"/>
  <c r="BA310" i="14"/>
  <c r="BF309" i="14"/>
  <c r="BA309" i="14"/>
  <c r="BF308" i="14"/>
  <c r="BA308" i="14"/>
  <c r="BF307" i="14"/>
  <c r="BA307" i="14"/>
  <c r="BF306" i="14"/>
  <c r="BA306" i="14"/>
  <c r="BF305" i="14"/>
  <c r="BA305" i="14"/>
  <c r="BF304" i="14"/>
  <c r="BA304" i="14"/>
  <c r="BF303" i="14"/>
  <c r="BA303" i="14"/>
  <c r="BF302" i="14"/>
  <c r="BA302" i="14"/>
  <c r="BF301" i="14"/>
  <c r="BA301" i="14"/>
  <c r="BF300" i="14"/>
  <c r="BA300" i="14"/>
  <c r="BF299" i="14"/>
  <c r="BA299" i="14"/>
  <c r="BF298" i="14"/>
  <c r="BA298" i="14"/>
  <c r="BF297" i="14"/>
  <c r="BA297" i="14"/>
  <c r="BF296" i="14"/>
  <c r="BA296" i="14"/>
  <c r="BF295" i="14"/>
  <c r="BA295" i="14"/>
  <c r="BF294" i="14"/>
  <c r="BA294" i="14"/>
  <c r="BF293" i="14"/>
  <c r="BA293" i="14"/>
  <c r="BF292" i="14"/>
  <c r="BA292" i="14"/>
  <c r="BF291" i="14"/>
  <c r="BA291" i="14"/>
  <c r="BF290" i="14"/>
  <c r="BA290" i="14"/>
  <c r="BF289" i="14"/>
  <c r="BA289" i="14"/>
  <c r="BF288" i="14"/>
  <c r="BA288" i="14"/>
  <c r="BF287" i="14"/>
  <c r="BA287" i="14"/>
  <c r="BF286" i="14"/>
  <c r="BA286" i="14"/>
  <c r="BF285" i="14"/>
  <c r="BA285" i="14"/>
  <c r="BF284" i="14"/>
  <c r="BA284" i="14"/>
  <c r="BF283" i="14"/>
  <c r="BA283" i="14"/>
  <c r="BF282" i="14"/>
  <c r="BA282" i="14"/>
  <c r="BF281" i="14"/>
  <c r="BA281" i="14"/>
  <c r="BF280" i="14"/>
  <c r="BA280" i="14"/>
  <c r="BF279" i="14"/>
  <c r="BA279" i="14"/>
  <c r="BF278" i="14"/>
  <c r="BA278" i="14"/>
  <c r="BF277" i="14"/>
  <c r="BA277" i="14"/>
  <c r="BF276" i="14"/>
  <c r="BA276" i="14"/>
  <c r="BF275" i="14"/>
  <c r="BA275" i="14"/>
  <c r="BF274" i="14"/>
  <c r="BA274" i="14"/>
  <c r="BF273" i="14"/>
  <c r="BA273" i="14"/>
  <c r="BF272" i="14"/>
  <c r="BA272" i="14"/>
  <c r="BF271" i="14"/>
  <c r="BA271" i="14"/>
  <c r="BF270" i="14"/>
  <c r="BA270" i="14"/>
  <c r="BF269" i="14"/>
  <c r="BA269" i="14"/>
  <c r="BF268" i="14"/>
  <c r="BA268" i="14"/>
  <c r="BF267" i="14"/>
  <c r="BA267" i="14"/>
  <c r="BF266" i="14"/>
  <c r="BA266" i="14"/>
  <c r="BF265" i="14"/>
  <c r="BA265" i="14"/>
  <c r="BF264" i="14"/>
  <c r="BA264" i="14"/>
  <c r="BF263" i="14"/>
  <c r="BA263" i="14"/>
  <c r="BF262" i="14"/>
  <c r="BA262" i="14"/>
  <c r="BF261" i="14"/>
  <c r="BA261" i="14"/>
  <c r="BF260" i="14"/>
  <c r="BA260" i="14"/>
  <c r="BF259" i="14"/>
  <c r="BA259" i="14"/>
  <c r="BF258" i="14"/>
  <c r="BA258" i="14"/>
  <c r="BF257" i="14"/>
  <c r="BA257" i="14"/>
  <c r="BF256" i="14"/>
  <c r="BA256" i="14"/>
  <c r="BF255" i="14"/>
  <c r="BA255" i="14"/>
  <c r="BF254" i="14"/>
  <c r="BA254" i="14"/>
  <c r="BF253" i="14"/>
  <c r="BA253" i="14"/>
  <c r="BF252" i="14"/>
  <c r="BA252" i="14"/>
  <c r="BF251" i="14"/>
  <c r="BA251" i="14"/>
  <c r="BF250" i="14"/>
  <c r="BA250" i="14"/>
  <c r="BF249" i="14"/>
  <c r="BA249" i="14"/>
  <c r="BF248" i="14"/>
  <c r="BA248" i="14"/>
  <c r="BF247" i="14"/>
  <c r="BA247" i="14"/>
  <c r="BF246" i="14"/>
  <c r="BA246" i="14"/>
  <c r="BF245" i="14"/>
  <c r="BA245" i="14"/>
  <c r="BF244" i="14"/>
  <c r="BA244" i="14"/>
  <c r="BF243" i="14"/>
  <c r="BA243" i="14"/>
  <c r="BF242" i="14"/>
  <c r="BA242" i="14"/>
  <c r="BF241" i="14"/>
  <c r="BA241" i="14"/>
  <c r="BF240" i="14"/>
  <c r="BA240" i="14"/>
  <c r="BF239" i="14"/>
  <c r="BA239" i="14"/>
  <c r="BF238" i="14"/>
  <c r="BA238" i="14"/>
  <c r="BF237" i="14"/>
  <c r="BA237" i="14"/>
  <c r="BF236" i="14"/>
  <c r="BA236" i="14"/>
  <c r="BF235" i="14"/>
  <c r="BA235" i="14"/>
  <c r="BF234" i="14"/>
  <c r="BA234" i="14"/>
  <c r="BF233" i="14"/>
  <c r="BA233" i="14"/>
  <c r="BF232" i="14"/>
  <c r="BA232" i="14"/>
  <c r="BF231" i="14"/>
  <c r="BA231" i="14"/>
  <c r="BF230" i="14"/>
  <c r="BA230" i="14"/>
  <c r="BF229" i="14"/>
  <c r="BA229" i="14"/>
  <c r="BF228" i="14"/>
  <c r="BA228" i="14"/>
  <c r="BF227" i="14"/>
  <c r="BA227" i="14"/>
  <c r="BF226" i="14"/>
  <c r="BA226" i="14"/>
  <c r="BF225" i="14"/>
  <c r="BA225" i="14"/>
  <c r="BF224" i="14"/>
  <c r="BA224" i="14"/>
  <c r="BF223" i="14"/>
  <c r="BA223" i="14"/>
  <c r="BF222" i="14"/>
  <c r="BA222" i="14"/>
  <c r="BF221" i="14"/>
  <c r="BA221" i="14"/>
  <c r="BF220" i="14"/>
  <c r="BA220" i="14"/>
  <c r="BF219" i="14"/>
  <c r="BA219" i="14"/>
  <c r="BF218" i="14"/>
  <c r="BA218" i="14"/>
  <c r="BF217" i="14"/>
  <c r="BA217" i="14"/>
  <c r="BF216" i="14"/>
  <c r="BA216" i="14"/>
  <c r="BF215" i="14"/>
  <c r="BA215" i="14"/>
  <c r="BF214" i="14"/>
  <c r="BA214" i="14"/>
  <c r="BF213" i="14"/>
  <c r="BA213" i="14"/>
  <c r="BF212" i="14"/>
  <c r="BA212" i="14"/>
  <c r="BF211" i="14"/>
  <c r="BA211" i="14"/>
  <c r="BF210" i="14"/>
  <c r="BA210" i="14"/>
  <c r="BF209" i="14"/>
  <c r="BA209" i="14"/>
  <c r="BF208" i="14"/>
  <c r="BA208" i="14"/>
  <c r="BF207" i="14"/>
  <c r="BA207" i="14"/>
  <c r="BF206" i="14"/>
  <c r="BA206" i="14"/>
  <c r="BF205" i="14"/>
  <c r="BA205" i="14"/>
  <c r="BF204" i="14"/>
  <c r="BA204" i="14"/>
  <c r="BF203" i="14"/>
  <c r="BA203" i="14"/>
  <c r="BF202" i="14"/>
  <c r="BA202" i="14"/>
  <c r="BF201" i="14"/>
  <c r="BA201" i="14"/>
  <c r="BF200" i="14"/>
  <c r="BA200" i="14"/>
  <c r="BF199" i="14"/>
  <c r="BA199" i="14"/>
  <c r="BF198" i="14"/>
  <c r="BA198" i="14"/>
  <c r="BF197" i="14"/>
  <c r="BA197" i="14"/>
  <c r="BF196" i="14"/>
  <c r="BA196" i="14"/>
  <c r="BF195" i="14"/>
  <c r="BA195" i="14"/>
  <c r="BF194" i="14"/>
  <c r="BA194" i="14"/>
  <c r="BF193" i="14"/>
  <c r="BA193" i="14"/>
  <c r="BF192" i="14"/>
  <c r="BA192" i="14"/>
  <c r="BF191" i="14"/>
  <c r="BA191" i="14"/>
  <c r="BF190" i="14"/>
  <c r="BA190" i="14"/>
  <c r="BF189" i="14"/>
  <c r="BA189" i="14"/>
  <c r="BF188" i="14"/>
  <c r="BA188" i="14"/>
  <c r="BF187" i="14"/>
  <c r="BA187" i="14"/>
  <c r="BF186" i="14"/>
  <c r="BA186" i="14"/>
  <c r="BF185" i="14"/>
  <c r="BA185" i="14"/>
  <c r="BF184" i="14"/>
  <c r="BA184" i="14"/>
  <c r="BF183" i="14"/>
  <c r="BA183" i="14"/>
  <c r="BF182" i="14"/>
  <c r="BA182" i="14"/>
  <c r="BF181" i="14"/>
  <c r="BA181" i="14"/>
  <c r="BF180" i="14"/>
  <c r="BA180" i="14"/>
  <c r="BF179" i="14"/>
  <c r="BA179" i="14"/>
  <c r="BF178" i="14"/>
  <c r="BA178" i="14"/>
  <c r="BF177" i="14"/>
  <c r="BA177" i="14"/>
  <c r="BF176" i="14"/>
  <c r="BA176" i="14"/>
  <c r="BF175" i="14"/>
  <c r="BA175" i="14"/>
  <c r="BF174" i="14"/>
  <c r="BA174" i="14"/>
  <c r="BF173" i="14"/>
  <c r="BA173" i="14"/>
  <c r="BF172" i="14"/>
  <c r="BA172" i="14"/>
  <c r="BF171" i="14"/>
  <c r="BA171" i="14"/>
  <c r="BF170" i="14"/>
  <c r="BA170" i="14"/>
  <c r="BF169" i="14"/>
  <c r="BA169" i="14"/>
  <c r="BF168" i="14"/>
  <c r="BA168" i="14"/>
  <c r="BF167" i="14"/>
  <c r="BA167" i="14"/>
  <c r="BF166" i="14"/>
  <c r="BA166" i="14"/>
  <c r="BF165" i="14"/>
  <c r="BA165" i="14"/>
  <c r="BF164" i="14"/>
  <c r="BA164" i="14"/>
  <c r="BF163" i="14"/>
  <c r="BA163" i="14"/>
  <c r="BF162" i="14"/>
  <c r="BA162" i="14"/>
  <c r="BF161" i="14"/>
  <c r="BA161" i="14"/>
  <c r="BF160" i="14"/>
  <c r="BA160" i="14"/>
  <c r="BF159" i="14"/>
  <c r="BA159" i="14"/>
  <c r="BF158" i="14"/>
  <c r="BA158" i="14"/>
  <c r="BF157" i="14"/>
  <c r="BA157" i="14"/>
  <c r="BF156" i="14"/>
  <c r="BA156" i="14"/>
  <c r="BF155" i="14"/>
  <c r="BA155" i="14"/>
  <c r="BF154" i="14"/>
  <c r="BA154" i="14"/>
  <c r="BF153" i="14"/>
  <c r="BA153" i="14"/>
  <c r="BF152" i="14"/>
  <c r="BA152" i="14"/>
  <c r="BF151" i="14"/>
  <c r="BA151" i="14"/>
  <c r="BF150" i="14"/>
  <c r="BA150" i="14"/>
  <c r="BF149" i="14"/>
  <c r="BA149" i="14"/>
  <c r="BF148" i="14"/>
  <c r="BA148" i="14"/>
  <c r="BF147" i="14"/>
  <c r="BA147" i="14"/>
  <c r="BF146" i="14"/>
  <c r="BA146" i="14"/>
  <c r="BF145" i="14"/>
  <c r="BA145" i="14"/>
  <c r="BF144" i="14"/>
  <c r="BA144" i="14"/>
  <c r="BF143" i="14"/>
  <c r="BA143" i="14"/>
  <c r="BF142" i="14"/>
  <c r="BA142" i="14"/>
  <c r="BF141" i="14"/>
  <c r="BA141" i="14"/>
  <c r="BF140" i="14"/>
  <c r="BA140" i="14"/>
  <c r="BF139" i="14"/>
  <c r="BA139" i="14"/>
  <c r="BF138" i="14"/>
  <c r="BA138" i="14"/>
  <c r="BF137" i="14"/>
  <c r="BA137" i="14"/>
  <c r="BF136" i="14"/>
  <c r="BA136" i="14"/>
  <c r="BF135" i="14"/>
  <c r="BA135" i="14"/>
  <c r="BF134" i="14"/>
  <c r="BA134" i="14"/>
  <c r="BF133" i="14"/>
  <c r="BA133" i="14"/>
  <c r="BF132" i="14"/>
  <c r="BA132" i="14"/>
  <c r="BF131" i="14"/>
  <c r="BA131" i="14"/>
  <c r="BF130" i="14"/>
  <c r="BA130" i="14"/>
  <c r="BF129" i="14"/>
  <c r="BA129" i="14"/>
  <c r="BF128" i="14"/>
  <c r="BA128" i="14"/>
  <c r="BF127" i="14"/>
  <c r="BA127" i="14"/>
  <c r="BF126" i="14"/>
  <c r="BA126" i="14"/>
  <c r="BF125" i="14"/>
  <c r="BA125" i="14"/>
  <c r="BF124" i="14"/>
  <c r="BA124" i="14"/>
  <c r="BF123" i="14"/>
  <c r="BA123" i="14"/>
  <c r="BF122" i="14"/>
  <c r="BA122" i="14"/>
  <c r="BF121" i="14"/>
  <c r="BA121" i="14"/>
  <c r="BF120" i="14"/>
  <c r="BA120" i="14"/>
  <c r="BF119" i="14"/>
  <c r="BA119" i="14"/>
  <c r="BF118" i="14"/>
  <c r="BA118" i="14"/>
  <c r="BF117" i="14"/>
  <c r="BA117" i="14"/>
  <c r="BF116" i="14"/>
  <c r="BA116" i="14"/>
  <c r="BF115" i="14"/>
  <c r="BA115" i="14"/>
  <c r="BF114" i="14"/>
  <c r="BA114" i="14"/>
  <c r="BF113" i="14"/>
  <c r="BA113" i="14"/>
  <c r="BF112" i="14"/>
  <c r="BA112" i="14"/>
  <c r="BB112" i="14" s="1"/>
  <c r="BF111" i="14"/>
  <c r="BA111" i="14"/>
  <c r="BF110" i="14"/>
  <c r="BA110" i="14"/>
  <c r="BF109" i="14"/>
  <c r="BG109" i="14" s="1"/>
  <c r="BA109" i="14"/>
  <c r="BF108" i="14"/>
  <c r="BA108" i="14"/>
  <c r="BF107" i="14"/>
  <c r="BG107" i="14" s="1"/>
  <c r="BA107" i="14"/>
  <c r="BF106" i="14"/>
  <c r="BA106" i="14"/>
  <c r="BF105" i="14"/>
  <c r="BG105" i="14" s="1"/>
  <c r="BA105" i="14"/>
  <c r="BF104" i="14"/>
  <c r="BA104" i="14"/>
  <c r="BF103" i="14"/>
  <c r="BG103" i="14" s="1"/>
  <c r="BA103" i="14"/>
  <c r="BF102" i="14"/>
  <c r="BA102" i="14"/>
  <c r="BF101" i="14"/>
  <c r="BG101" i="14" s="1"/>
  <c r="BA101" i="14"/>
  <c r="BF100" i="14"/>
  <c r="BA100" i="14"/>
  <c r="BF99" i="14"/>
  <c r="BG99" i="14" s="1"/>
  <c r="BA99" i="14"/>
  <c r="BF98" i="14"/>
  <c r="BA98" i="14"/>
  <c r="BF97" i="14"/>
  <c r="BG97" i="14" s="1"/>
  <c r="BA97" i="14"/>
  <c r="BF96" i="14"/>
  <c r="BA96" i="14"/>
  <c r="BF95" i="14"/>
  <c r="BG95" i="14" s="1"/>
  <c r="BA95" i="14"/>
  <c r="BF94" i="14"/>
  <c r="BA94" i="14"/>
  <c r="BF93" i="14"/>
  <c r="BG93" i="14" s="1"/>
  <c r="BA93" i="14"/>
  <c r="BF92" i="14"/>
  <c r="BA92" i="14"/>
  <c r="BF91" i="14"/>
  <c r="BG91" i="14" s="1"/>
  <c r="BA91" i="14"/>
  <c r="BF90" i="14"/>
  <c r="BA90" i="14"/>
  <c r="BG89" i="14"/>
  <c r="BF89" i="14"/>
  <c r="BA89" i="14"/>
  <c r="BF88" i="14"/>
  <c r="BA88" i="14"/>
  <c r="BF87" i="14"/>
  <c r="BA87" i="14"/>
  <c r="BB87" i="14" s="1"/>
  <c r="BF86" i="14"/>
  <c r="BA86" i="14"/>
  <c r="BF85" i="14"/>
  <c r="BA85" i="14"/>
  <c r="BF84" i="14"/>
  <c r="BA84" i="14"/>
  <c r="BF83" i="14"/>
  <c r="BA83" i="14"/>
  <c r="BF82" i="14"/>
  <c r="BA82" i="14"/>
  <c r="BF81" i="14"/>
  <c r="BA81" i="14"/>
  <c r="BF80" i="14"/>
  <c r="BA80" i="14"/>
  <c r="BF79" i="14"/>
  <c r="BA79" i="14"/>
  <c r="BF78" i="14"/>
  <c r="BA78" i="14"/>
  <c r="BF77" i="14"/>
  <c r="BA77" i="14"/>
  <c r="BF76" i="14"/>
  <c r="BA76" i="14"/>
  <c r="BF75" i="14"/>
  <c r="BA75" i="14"/>
  <c r="BF74" i="14"/>
  <c r="BA74" i="14"/>
  <c r="BF73" i="14"/>
  <c r="BA73" i="14"/>
  <c r="BF72" i="14"/>
  <c r="BA72" i="14"/>
  <c r="BF71" i="14"/>
  <c r="BA71" i="14"/>
  <c r="BF70" i="14"/>
  <c r="BA70" i="14"/>
  <c r="BF69" i="14"/>
  <c r="BA69" i="14"/>
  <c r="BF68" i="14"/>
  <c r="BA68" i="14"/>
  <c r="BF67" i="14"/>
  <c r="BA67" i="14"/>
  <c r="BF66" i="14"/>
  <c r="BA66" i="14"/>
  <c r="BF65" i="14"/>
  <c r="BA65" i="14"/>
  <c r="BF64" i="14"/>
  <c r="BA64" i="14"/>
  <c r="BF63" i="14"/>
  <c r="BA63" i="14"/>
  <c r="BF62" i="14"/>
  <c r="BA62" i="14"/>
  <c r="BF61" i="14"/>
  <c r="BA61" i="14"/>
  <c r="BF60" i="14"/>
  <c r="BA60" i="14"/>
  <c r="BF59" i="14"/>
  <c r="BA59" i="14"/>
  <c r="BF58" i="14"/>
  <c r="BA58" i="14"/>
  <c r="BF57" i="14"/>
  <c r="BA57" i="14"/>
  <c r="BF56" i="14"/>
  <c r="BA56" i="14"/>
  <c r="BF55" i="14"/>
  <c r="BA55" i="14"/>
  <c r="BF54" i="14"/>
  <c r="BA54" i="14"/>
  <c r="BF53" i="14"/>
  <c r="BA53" i="14"/>
  <c r="BF52" i="14"/>
  <c r="BA52" i="14"/>
  <c r="BF51" i="14"/>
  <c r="BA51" i="14"/>
  <c r="BF50" i="14"/>
  <c r="BA50" i="14"/>
  <c r="BF49" i="14"/>
  <c r="BA49" i="14"/>
  <c r="BF48" i="14"/>
  <c r="BA48" i="14"/>
  <c r="BF47" i="14"/>
  <c r="BA47" i="14"/>
  <c r="BF46" i="14"/>
  <c r="BA46" i="14"/>
  <c r="BF45" i="14"/>
  <c r="BA45" i="14"/>
  <c r="BF44" i="14"/>
  <c r="BA44" i="14"/>
  <c r="BF43" i="14"/>
  <c r="BA43" i="14"/>
  <c r="BF42" i="14"/>
  <c r="BA42" i="14"/>
  <c r="BF41" i="14"/>
  <c r="BA41" i="14"/>
  <c r="BF40" i="14"/>
  <c r="BA40" i="14"/>
  <c r="BF39" i="14"/>
  <c r="BA39" i="14"/>
  <c r="BF38" i="14"/>
  <c r="BA38" i="14"/>
  <c r="BF37" i="14"/>
  <c r="BA37" i="14"/>
  <c r="BF36" i="14"/>
  <c r="BA36" i="14"/>
  <c r="BF35" i="14"/>
  <c r="BA35" i="14"/>
  <c r="BF34" i="14"/>
  <c r="BA34" i="14"/>
  <c r="BF33" i="14"/>
  <c r="BA33" i="14"/>
  <c r="BF32" i="14"/>
  <c r="BA32" i="14"/>
  <c r="BF31" i="14"/>
  <c r="BA31" i="14"/>
  <c r="BF30" i="14"/>
  <c r="BA30" i="14"/>
  <c r="BF29" i="14"/>
  <c r="BA29" i="14"/>
  <c r="BF28" i="14"/>
  <c r="BA28" i="14"/>
  <c r="BF27" i="14"/>
  <c r="BA27" i="14"/>
  <c r="BF26" i="14"/>
  <c r="BA26" i="14"/>
  <c r="BF25" i="14"/>
  <c r="BA25" i="14"/>
  <c r="BF24" i="14"/>
  <c r="BA24" i="14"/>
  <c r="BF23" i="14"/>
  <c r="BA23" i="14"/>
  <c r="BF22" i="14"/>
  <c r="BA22" i="14"/>
  <c r="BF21" i="14"/>
  <c r="BA21" i="14"/>
  <c r="BF20" i="14"/>
  <c r="BA20" i="14"/>
  <c r="BF19" i="14"/>
  <c r="BA19" i="14"/>
  <c r="BF18" i="14"/>
  <c r="BA18" i="14"/>
  <c r="BF17" i="14"/>
  <c r="BA17" i="14"/>
  <c r="BF16" i="14"/>
  <c r="BA16" i="14"/>
  <c r="BF15" i="14"/>
  <c r="BA15" i="14"/>
  <c r="BF14" i="14"/>
  <c r="BA14" i="14"/>
  <c r="BF13" i="14"/>
  <c r="BA13" i="14"/>
  <c r="BF12" i="14"/>
  <c r="BA12" i="14"/>
  <c r="BF11" i="14"/>
  <c r="BA11" i="14"/>
  <c r="BF10" i="14"/>
  <c r="BA10" i="14"/>
  <c r="BF9" i="14"/>
  <c r="BA9" i="14"/>
  <c r="BF8" i="14"/>
  <c r="BA8" i="14"/>
  <c r="BF7" i="14"/>
  <c r="BA7" i="14"/>
  <c r="BF6" i="14"/>
  <c r="BA6" i="14"/>
  <c r="BF5" i="14"/>
  <c r="BA5" i="14"/>
  <c r="BF4" i="14"/>
  <c r="BA4" i="14"/>
  <c r="BF3" i="14"/>
  <c r="BA3" i="14"/>
  <c r="BF2" i="14"/>
  <c r="BA2" i="14"/>
  <c r="BF1" i="14"/>
  <c r="BA1" i="14"/>
  <c r="AZ577" i="14"/>
  <c r="AZ578" i="14"/>
  <c r="BB578" i="14" s="1"/>
  <c r="AZ579" i="14"/>
  <c r="BB579" i="14" s="1"/>
  <c r="AZ580" i="14"/>
  <c r="BB580" i="14" s="1"/>
  <c r="AZ581" i="14"/>
  <c r="BB581" i="14" s="1"/>
  <c r="AZ582" i="14"/>
  <c r="BB582" i="14" s="1"/>
  <c r="AZ583" i="14"/>
  <c r="BB583" i="14" s="1"/>
  <c r="AZ584" i="14"/>
  <c r="BB584" i="14" s="1"/>
  <c r="AZ585" i="14"/>
  <c r="AZ586" i="14"/>
  <c r="BB586" i="14" s="1"/>
  <c r="AZ587" i="14"/>
  <c r="BB587" i="14" s="1"/>
  <c r="AZ588" i="14"/>
  <c r="BB588" i="14" s="1"/>
  <c r="AZ589" i="14"/>
  <c r="BB589" i="14" s="1"/>
  <c r="AZ590" i="14"/>
  <c r="BB590" i="14" s="1"/>
  <c r="AZ591" i="14"/>
  <c r="BB591" i="14" s="1"/>
  <c r="AZ592" i="14"/>
  <c r="BB592" i="14" s="1"/>
  <c r="AZ593" i="14"/>
  <c r="AZ594" i="14"/>
  <c r="BB594" i="14" s="1"/>
  <c r="AZ595" i="14"/>
  <c r="BB595" i="14" s="1"/>
  <c r="AZ596" i="14"/>
  <c r="BB596" i="14" s="1"/>
  <c r="AZ597" i="14"/>
  <c r="BB597" i="14" s="1"/>
  <c r="AZ598" i="14"/>
  <c r="BB598" i="14" s="1"/>
  <c r="AZ599" i="14"/>
  <c r="BB599" i="14" s="1"/>
  <c r="AZ600" i="14"/>
  <c r="BB600" i="14" s="1"/>
  <c r="AZ545" i="14"/>
  <c r="AZ546" i="14"/>
  <c r="BB546" i="14" s="1"/>
  <c r="AZ547" i="14"/>
  <c r="BB547" i="14" s="1"/>
  <c r="AZ548" i="14"/>
  <c r="BB548" i="14" s="1"/>
  <c r="AZ549" i="14"/>
  <c r="BB549" i="14" s="1"/>
  <c r="AZ550" i="14"/>
  <c r="BB550" i="14" s="1"/>
  <c r="AZ551" i="14"/>
  <c r="BB551" i="14" s="1"/>
  <c r="AZ552" i="14"/>
  <c r="BB552" i="14" s="1"/>
  <c r="AZ553" i="14"/>
  <c r="AZ554" i="14"/>
  <c r="BB554" i="14" s="1"/>
  <c r="AZ555" i="14"/>
  <c r="BB555" i="14" s="1"/>
  <c r="AZ556" i="14"/>
  <c r="BB556" i="14" s="1"/>
  <c r="AZ557" i="14"/>
  <c r="BB557" i="14" s="1"/>
  <c r="AZ558" i="14"/>
  <c r="BB558" i="14" s="1"/>
  <c r="AZ559" i="14"/>
  <c r="BB559" i="14" s="1"/>
  <c r="AZ560" i="14"/>
  <c r="BB560" i="14" s="1"/>
  <c r="AZ561" i="14"/>
  <c r="AZ562" i="14"/>
  <c r="BB562" i="14" s="1"/>
  <c r="AZ563" i="14"/>
  <c r="BB563" i="14" s="1"/>
  <c r="AZ564" i="14"/>
  <c r="BB564" i="14" s="1"/>
  <c r="AZ565" i="14"/>
  <c r="BB565" i="14" s="1"/>
  <c r="AZ566" i="14"/>
  <c r="BB566" i="14" s="1"/>
  <c r="AZ567" i="14"/>
  <c r="BB567" i="14" s="1"/>
  <c r="AZ568" i="14"/>
  <c r="BB568" i="14" s="1"/>
  <c r="AZ569" i="14"/>
  <c r="AZ570" i="14"/>
  <c r="BB570" i="14" s="1"/>
  <c r="AZ571" i="14"/>
  <c r="BB571" i="14" s="1"/>
  <c r="AZ572" i="14"/>
  <c r="BB572" i="14" s="1"/>
  <c r="AZ573" i="14"/>
  <c r="BB573" i="14" s="1"/>
  <c r="AZ574" i="14"/>
  <c r="BB574" i="14" s="1"/>
  <c r="AZ575" i="14"/>
  <c r="BB575" i="14" s="1"/>
  <c r="AZ576" i="14"/>
  <c r="BB576" i="14" s="1"/>
  <c r="AZ513" i="14"/>
  <c r="AZ514" i="14"/>
  <c r="BB514" i="14" s="1"/>
  <c r="AZ515" i="14"/>
  <c r="BB515" i="14" s="1"/>
  <c r="AZ516" i="14"/>
  <c r="BB516" i="14" s="1"/>
  <c r="AZ517" i="14"/>
  <c r="BB517" i="14" s="1"/>
  <c r="AZ518" i="14"/>
  <c r="BB518" i="14" s="1"/>
  <c r="AZ519" i="14"/>
  <c r="BB519" i="14" s="1"/>
  <c r="AZ520" i="14"/>
  <c r="BB520" i="14" s="1"/>
  <c r="AZ521" i="14"/>
  <c r="AZ522" i="14"/>
  <c r="BB522" i="14" s="1"/>
  <c r="AZ523" i="14"/>
  <c r="BB523" i="14" s="1"/>
  <c r="AZ524" i="14"/>
  <c r="BB524" i="14" s="1"/>
  <c r="AZ525" i="14"/>
  <c r="BB525" i="14" s="1"/>
  <c r="AZ526" i="14"/>
  <c r="BB526" i="14" s="1"/>
  <c r="AZ527" i="14"/>
  <c r="BB527" i="14" s="1"/>
  <c r="AZ528" i="14"/>
  <c r="BB528" i="14" s="1"/>
  <c r="AZ529" i="14"/>
  <c r="AZ530" i="14"/>
  <c r="BB530" i="14" s="1"/>
  <c r="AZ531" i="14"/>
  <c r="BB531" i="14" s="1"/>
  <c r="AZ532" i="14"/>
  <c r="BB532" i="14" s="1"/>
  <c r="AZ533" i="14"/>
  <c r="BB533" i="14" s="1"/>
  <c r="AZ534" i="14"/>
  <c r="BB534" i="14" s="1"/>
  <c r="AZ535" i="14"/>
  <c r="BB535" i="14" s="1"/>
  <c r="AZ536" i="14"/>
  <c r="BB536" i="14" s="1"/>
  <c r="AZ537" i="14"/>
  <c r="AZ538" i="14"/>
  <c r="BB538" i="14" s="1"/>
  <c r="AZ539" i="14"/>
  <c r="BB539" i="14" s="1"/>
  <c r="AZ540" i="14"/>
  <c r="BB540" i="14" s="1"/>
  <c r="AZ541" i="14"/>
  <c r="BB541" i="14" s="1"/>
  <c r="AZ542" i="14"/>
  <c r="BB542" i="14" s="1"/>
  <c r="AZ543" i="14"/>
  <c r="BB543" i="14" s="1"/>
  <c r="AZ544" i="14"/>
  <c r="BB544" i="14" s="1"/>
  <c r="AZ481" i="14"/>
  <c r="AZ482" i="14"/>
  <c r="BB482" i="14" s="1"/>
  <c r="AZ483" i="14"/>
  <c r="BB483" i="14" s="1"/>
  <c r="AZ484" i="14"/>
  <c r="BB484" i="14" s="1"/>
  <c r="AZ485" i="14"/>
  <c r="BB485" i="14" s="1"/>
  <c r="AZ486" i="14"/>
  <c r="BB486" i="14" s="1"/>
  <c r="AZ487" i="14"/>
  <c r="BB487" i="14" s="1"/>
  <c r="AZ488" i="14"/>
  <c r="BB488" i="14" s="1"/>
  <c r="AZ489" i="14"/>
  <c r="AZ490" i="14"/>
  <c r="BB490" i="14" s="1"/>
  <c r="AZ491" i="14"/>
  <c r="BB491" i="14" s="1"/>
  <c r="AZ492" i="14"/>
  <c r="BB492" i="14" s="1"/>
  <c r="AZ493" i="14"/>
  <c r="BB493" i="14" s="1"/>
  <c r="AZ494" i="14"/>
  <c r="BB494" i="14" s="1"/>
  <c r="AZ495" i="14"/>
  <c r="BB495" i="14" s="1"/>
  <c r="AZ496" i="14"/>
  <c r="BB496" i="14" s="1"/>
  <c r="AZ497" i="14"/>
  <c r="AZ498" i="14"/>
  <c r="BB498" i="14" s="1"/>
  <c r="AZ499" i="14"/>
  <c r="BB499" i="14" s="1"/>
  <c r="AZ500" i="14"/>
  <c r="BB500" i="14" s="1"/>
  <c r="AZ501" i="14"/>
  <c r="BB501" i="14" s="1"/>
  <c r="AZ502" i="14"/>
  <c r="BB502" i="14" s="1"/>
  <c r="AZ503" i="14"/>
  <c r="BB503" i="14" s="1"/>
  <c r="AZ504" i="14"/>
  <c r="BB504" i="14" s="1"/>
  <c r="AZ505" i="14"/>
  <c r="AZ506" i="14"/>
  <c r="BB506" i="14" s="1"/>
  <c r="AZ507" i="14"/>
  <c r="BB507" i="14" s="1"/>
  <c r="AZ508" i="14"/>
  <c r="BB508" i="14" s="1"/>
  <c r="AZ509" i="14"/>
  <c r="BB509" i="14" s="1"/>
  <c r="AZ510" i="14"/>
  <c r="BB510" i="14" s="1"/>
  <c r="AZ511" i="14"/>
  <c r="BB511" i="14" s="1"/>
  <c r="AZ512" i="14"/>
  <c r="BB512" i="14" s="1"/>
  <c r="AZ449" i="14"/>
  <c r="AZ450" i="14"/>
  <c r="BB450" i="14" s="1"/>
  <c r="AZ451" i="14"/>
  <c r="BB451" i="14" s="1"/>
  <c r="AZ452" i="14"/>
  <c r="BB452" i="14" s="1"/>
  <c r="AZ453" i="14"/>
  <c r="BB453" i="14" s="1"/>
  <c r="AZ454" i="14"/>
  <c r="BB454" i="14" s="1"/>
  <c r="AZ455" i="14"/>
  <c r="BB455" i="14" s="1"/>
  <c r="AZ456" i="14"/>
  <c r="BB456" i="14" s="1"/>
  <c r="AZ457" i="14"/>
  <c r="AZ458" i="14"/>
  <c r="BB458" i="14" s="1"/>
  <c r="AZ459" i="14"/>
  <c r="BB459" i="14" s="1"/>
  <c r="AZ460" i="14"/>
  <c r="BB460" i="14" s="1"/>
  <c r="AZ461" i="14"/>
  <c r="BB461" i="14" s="1"/>
  <c r="AZ462" i="14"/>
  <c r="BB462" i="14" s="1"/>
  <c r="AZ463" i="14"/>
  <c r="BB463" i="14" s="1"/>
  <c r="AZ464" i="14"/>
  <c r="BB464" i="14" s="1"/>
  <c r="AZ465" i="14"/>
  <c r="AZ466" i="14"/>
  <c r="BB466" i="14" s="1"/>
  <c r="AZ467" i="14"/>
  <c r="BB467" i="14" s="1"/>
  <c r="AZ468" i="14"/>
  <c r="BB468" i="14" s="1"/>
  <c r="AZ469" i="14"/>
  <c r="BB469" i="14" s="1"/>
  <c r="AZ470" i="14"/>
  <c r="BB470" i="14" s="1"/>
  <c r="AZ471" i="14"/>
  <c r="BB471" i="14" s="1"/>
  <c r="AZ472" i="14"/>
  <c r="BB472" i="14" s="1"/>
  <c r="AZ473" i="14"/>
  <c r="AZ474" i="14"/>
  <c r="BB474" i="14" s="1"/>
  <c r="AZ475" i="14"/>
  <c r="BB475" i="14" s="1"/>
  <c r="AZ476" i="14"/>
  <c r="BB476" i="14" s="1"/>
  <c r="AZ477" i="14"/>
  <c r="BB477" i="14" s="1"/>
  <c r="AZ478" i="14"/>
  <c r="BB478" i="14" s="1"/>
  <c r="AZ479" i="14"/>
  <c r="BB479" i="14" s="1"/>
  <c r="AZ480" i="14"/>
  <c r="BB480" i="14" s="1"/>
  <c r="AZ417" i="14"/>
  <c r="AZ418" i="14"/>
  <c r="BB418" i="14" s="1"/>
  <c r="AZ419" i="14"/>
  <c r="BB419" i="14" s="1"/>
  <c r="AZ420" i="14"/>
  <c r="BB420" i="14" s="1"/>
  <c r="AZ421" i="14"/>
  <c r="BB421" i="14" s="1"/>
  <c r="AZ422" i="14"/>
  <c r="BB422" i="14" s="1"/>
  <c r="AZ423" i="14"/>
  <c r="BB423" i="14" s="1"/>
  <c r="AZ424" i="14"/>
  <c r="BB424" i="14" s="1"/>
  <c r="AZ425" i="14"/>
  <c r="AZ426" i="14"/>
  <c r="BB426" i="14" s="1"/>
  <c r="AZ427" i="14"/>
  <c r="BB427" i="14" s="1"/>
  <c r="AZ428" i="14"/>
  <c r="BB428" i="14" s="1"/>
  <c r="AZ429" i="14"/>
  <c r="BB429" i="14" s="1"/>
  <c r="AZ430" i="14"/>
  <c r="BB430" i="14" s="1"/>
  <c r="AZ431" i="14"/>
  <c r="BB431" i="14" s="1"/>
  <c r="AZ432" i="14"/>
  <c r="BB432" i="14" s="1"/>
  <c r="AZ433" i="14"/>
  <c r="AZ434" i="14"/>
  <c r="BB434" i="14" s="1"/>
  <c r="AZ435" i="14"/>
  <c r="BB435" i="14" s="1"/>
  <c r="AZ436" i="14"/>
  <c r="BB436" i="14" s="1"/>
  <c r="AZ437" i="14"/>
  <c r="BB437" i="14" s="1"/>
  <c r="AZ438" i="14"/>
  <c r="BB438" i="14" s="1"/>
  <c r="AZ439" i="14"/>
  <c r="BB439" i="14" s="1"/>
  <c r="AZ440" i="14"/>
  <c r="BB440" i="14" s="1"/>
  <c r="AZ441" i="14"/>
  <c r="AZ442" i="14"/>
  <c r="BB442" i="14" s="1"/>
  <c r="AZ443" i="14"/>
  <c r="BB443" i="14" s="1"/>
  <c r="AZ444" i="14"/>
  <c r="BB444" i="14" s="1"/>
  <c r="AZ445" i="14"/>
  <c r="BB445" i="14" s="1"/>
  <c r="AZ446" i="14"/>
  <c r="BB446" i="14" s="1"/>
  <c r="AZ447" i="14"/>
  <c r="BB447" i="14" s="1"/>
  <c r="AZ448" i="14"/>
  <c r="BB448" i="14" s="1"/>
  <c r="AZ385" i="14"/>
  <c r="BE385" i="14"/>
  <c r="BG385" i="14" s="1"/>
  <c r="AZ386" i="14"/>
  <c r="BB386" i="14" s="1"/>
  <c r="BE386" i="14"/>
  <c r="BG386" i="14" s="1"/>
  <c r="AZ387" i="14"/>
  <c r="BB387" i="14" s="1"/>
  <c r="BE387" i="14"/>
  <c r="BG387" i="14" s="1"/>
  <c r="AZ388" i="14"/>
  <c r="BB388" i="14" s="1"/>
  <c r="BE388" i="14"/>
  <c r="BG388" i="14" s="1"/>
  <c r="AZ389" i="14"/>
  <c r="BE389" i="14"/>
  <c r="BG389" i="14" s="1"/>
  <c r="AZ390" i="14"/>
  <c r="BB390" i="14" s="1"/>
  <c r="BE390" i="14"/>
  <c r="BG390" i="14" s="1"/>
  <c r="AZ391" i="14"/>
  <c r="BB391" i="14" s="1"/>
  <c r="BE391" i="14"/>
  <c r="BG391" i="14" s="1"/>
  <c r="AZ392" i="14"/>
  <c r="BB392" i="14" s="1"/>
  <c r="BE392" i="14"/>
  <c r="BG392" i="14" s="1"/>
  <c r="AZ393" i="14"/>
  <c r="BE393" i="14"/>
  <c r="BG393" i="14" s="1"/>
  <c r="AZ394" i="14"/>
  <c r="BB394" i="14" s="1"/>
  <c r="BE394" i="14"/>
  <c r="BG394" i="14" s="1"/>
  <c r="AZ395" i="14"/>
  <c r="BB395" i="14" s="1"/>
  <c r="BE395" i="14"/>
  <c r="BG395" i="14" s="1"/>
  <c r="AZ396" i="14"/>
  <c r="BB396" i="14" s="1"/>
  <c r="BE396" i="14"/>
  <c r="BG396" i="14" s="1"/>
  <c r="AZ397" i="14"/>
  <c r="BE397" i="14"/>
  <c r="BG397" i="14" s="1"/>
  <c r="AZ398" i="14"/>
  <c r="BB398" i="14" s="1"/>
  <c r="BE398" i="14"/>
  <c r="BG398" i="14" s="1"/>
  <c r="AZ399" i="14"/>
  <c r="BB399" i="14" s="1"/>
  <c r="BE399" i="14"/>
  <c r="BG399" i="14" s="1"/>
  <c r="AZ400" i="14"/>
  <c r="BB400" i="14" s="1"/>
  <c r="BE400" i="14"/>
  <c r="BG400" i="14" s="1"/>
  <c r="AZ401" i="14"/>
  <c r="AZ402" i="14"/>
  <c r="BB402" i="14" s="1"/>
  <c r="AZ403" i="14"/>
  <c r="BB403" i="14" s="1"/>
  <c r="AZ404" i="14"/>
  <c r="BB404" i="14" s="1"/>
  <c r="AZ405" i="14"/>
  <c r="BB405" i="14" s="1"/>
  <c r="AZ406" i="14"/>
  <c r="BB406" i="14" s="1"/>
  <c r="AZ407" i="14"/>
  <c r="BB407" i="14" s="1"/>
  <c r="AZ408" i="14"/>
  <c r="BB408" i="14" s="1"/>
  <c r="AZ409" i="14"/>
  <c r="AZ410" i="14"/>
  <c r="BB410" i="14" s="1"/>
  <c r="AZ411" i="14"/>
  <c r="BB411" i="14" s="1"/>
  <c r="AZ412" i="14"/>
  <c r="BB412" i="14" s="1"/>
  <c r="AZ413" i="14"/>
  <c r="BB413" i="14" s="1"/>
  <c r="AZ414" i="14"/>
  <c r="BB414" i="14" s="1"/>
  <c r="AZ415" i="14"/>
  <c r="BB415" i="14" s="1"/>
  <c r="AZ416" i="14"/>
  <c r="BB416" i="14" s="1"/>
  <c r="AZ353" i="14"/>
  <c r="BE353" i="14"/>
  <c r="BG353" i="14" s="1"/>
  <c r="AZ354" i="14"/>
  <c r="BB354" i="14" s="1"/>
  <c r="BE354" i="14"/>
  <c r="BG354" i="14" s="1"/>
  <c r="AZ355" i="14"/>
  <c r="BB355" i="14" s="1"/>
  <c r="BE355" i="14"/>
  <c r="BG355" i="14" s="1"/>
  <c r="AZ356" i="14"/>
  <c r="BB356" i="14" s="1"/>
  <c r="BE356" i="14"/>
  <c r="BG356" i="14" s="1"/>
  <c r="AZ357" i="14"/>
  <c r="BE357" i="14"/>
  <c r="BG357" i="14" s="1"/>
  <c r="AZ358" i="14"/>
  <c r="BB358" i="14" s="1"/>
  <c r="BE358" i="14"/>
  <c r="BG358" i="14" s="1"/>
  <c r="AZ359" i="14"/>
  <c r="BB359" i="14" s="1"/>
  <c r="BE359" i="14"/>
  <c r="BG359" i="14" s="1"/>
  <c r="AZ360" i="14"/>
  <c r="BB360" i="14" s="1"/>
  <c r="BE360" i="14"/>
  <c r="BG360" i="14" s="1"/>
  <c r="AZ361" i="14"/>
  <c r="BE361" i="14"/>
  <c r="BG361" i="14" s="1"/>
  <c r="AZ362" i="14"/>
  <c r="BB362" i="14" s="1"/>
  <c r="BE362" i="14"/>
  <c r="BG362" i="14" s="1"/>
  <c r="AZ363" i="14"/>
  <c r="BB363" i="14" s="1"/>
  <c r="BE363" i="14"/>
  <c r="BG363" i="14" s="1"/>
  <c r="AZ364" i="14"/>
  <c r="BB364" i="14" s="1"/>
  <c r="BE364" i="14"/>
  <c r="BG364" i="14" s="1"/>
  <c r="AZ365" i="14"/>
  <c r="BE365" i="14"/>
  <c r="BG365" i="14" s="1"/>
  <c r="AZ366" i="14"/>
  <c r="BB366" i="14" s="1"/>
  <c r="BE366" i="14"/>
  <c r="BG366" i="14" s="1"/>
  <c r="AZ367" i="14"/>
  <c r="BB367" i="14" s="1"/>
  <c r="BE367" i="14"/>
  <c r="BG367" i="14" s="1"/>
  <c r="AZ368" i="14"/>
  <c r="BB368" i="14" s="1"/>
  <c r="BE368" i="14"/>
  <c r="BG368" i="14" s="1"/>
  <c r="AZ369" i="14"/>
  <c r="BE369" i="14"/>
  <c r="BG369" i="14" s="1"/>
  <c r="AZ370" i="14"/>
  <c r="BB370" i="14" s="1"/>
  <c r="BE370" i="14"/>
  <c r="BG370" i="14" s="1"/>
  <c r="AZ371" i="14"/>
  <c r="BB371" i="14" s="1"/>
  <c r="BE371" i="14"/>
  <c r="BG371" i="14" s="1"/>
  <c r="AZ372" i="14"/>
  <c r="BB372" i="14" s="1"/>
  <c r="BE372" i="14"/>
  <c r="BG372" i="14" s="1"/>
  <c r="AZ373" i="14"/>
  <c r="BE373" i="14"/>
  <c r="BG373" i="14" s="1"/>
  <c r="AZ374" i="14"/>
  <c r="BB374" i="14" s="1"/>
  <c r="BE374" i="14"/>
  <c r="BG374" i="14" s="1"/>
  <c r="AZ375" i="14"/>
  <c r="BB375" i="14" s="1"/>
  <c r="BE375" i="14"/>
  <c r="BG375" i="14" s="1"/>
  <c r="AZ376" i="14"/>
  <c r="BB376" i="14" s="1"/>
  <c r="BE376" i="14"/>
  <c r="BG376" i="14" s="1"/>
  <c r="AZ377" i="14"/>
  <c r="BE377" i="14"/>
  <c r="BG377" i="14" s="1"/>
  <c r="AZ378" i="14"/>
  <c r="BB378" i="14" s="1"/>
  <c r="BE378" i="14"/>
  <c r="BG378" i="14" s="1"/>
  <c r="AZ379" i="14"/>
  <c r="BB379" i="14" s="1"/>
  <c r="BE379" i="14"/>
  <c r="BG379" i="14" s="1"/>
  <c r="AZ380" i="14"/>
  <c r="BB380" i="14" s="1"/>
  <c r="BE380" i="14"/>
  <c r="BG380" i="14" s="1"/>
  <c r="AZ381" i="14"/>
  <c r="BE381" i="14"/>
  <c r="BG381" i="14" s="1"/>
  <c r="AZ382" i="14"/>
  <c r="BB382" i="14" s="1"/>
  <c r="BE382" i="14"/>
  <c r="BG382" i="14" s="1"/>
  <c r="AZ383" i="14"/>
  <c r="BB383" i="14" s="1"/>
  <c r="BE383" i="14"/>
  <c r="BG383" i="14" s="1"/>
  <c r="AZ384" i="14"/>
  <c r="BB384" i="14" s="1"/>
  <c r="BE384" i="14"/>
  <c r="BG384" i="14" s="1"/>
  <c r="AZ321" i="14"/>
  <c r="BE321" i="14"/>
  <c r="BG321" i="14" s="1"/>
  <c r="AZ322" i="14"/>
  <c r="BB322" i="14" s="1"/>
  <c r="BE322" i="14"/>
  <c r="BG322" i="14" s="1"/>
  <c r="AZ323" i="14"/>
  <c r="BB323" i="14" s="1"/>
  <c r="BE323" i="14"/>
  <c r="BG323" i="14" s="1"/>
  <c r="AZ324" i="14"/>
  <c r="BB324" i="14" s="1"/>
  <c r="BE324" i="14"/>
  <c r="BG324" i="14" s="1"/>
  <c r="AZ325" i="14"/>
  <c r="BE325" i="14"/>
  <c r="BG325" i="14" s="1"/>
  <c r="AZ326" i="14"/>
  <c r="BB326" i="14" s="1"/>
  <c r="BE326" i="14"/>
  <c r="BG326" i="14" s="1"/>
  <c r="AZ327" i="14"/>
  <c r="BB327" i="14" s="1"/>
  <c r="BE327" i="14"/>
  <c r="BG327" i="14" s="1"/>
  <c r="AZ328" i="14"/>
  <c r="BB328" i="14" s="1"/>
  <c r="BE328" i="14"/>
  <c r="BG328" i="14" s="1"/>
  <c r="AZ329" i="14"/>
  <c r="BE329" i="14"/>
  <c r="BG329" i="14" s="1"/>
  <c r="AZ330" i="14"/>
  <c r="BB330" i="14" s="1"/>
  <c r="BE330" i="14"/>
  <c r="BG330" i="14" s="1"/>
  <c r="AZ331" i="14"/>
  <c r="BB331" i="14" s="1"/>
  <c r="BE331" i="14"/>
  <c r="BG331" i="14" s="1"/>
  <c r="AZ332" i="14"/>
  <c r="BB332" i="14" s="1"/>
  <c r="BE332" i="14"/>
  <c r="BG332" i="14" s="1"/>
  <c r="AZ333" i="14"/>
  <c r="BE333" i="14"/>
  <c r="BG333" i="14" s="1"/>
  <c r="AZ334" i="14"/>
  <c r="BB334" i="14" s="1"/>
  <c r="BE334" i="14"/>
  <c r="BG334" i="14" s="1"/>
  <c r="AZ335" i="14"/>
  <c r="BB335" i="14" s="1"/>
  <c r="BE335" i="14"/>
  <c r="BG335" i="14" s="1"/>
  <c r="AZ336" i="14"/>
  <c r="BB336" i="14" s="1"/>
  <c r="BE336" i="14"/>
  <c r="BG336" i="14" s="1"/>
  <c r="AZ337" i="14"/>
  <c r="BE337" i="14"/>
  <c r="BG337" i="14" s="1"/>
  <c r="AZ338" i="14"/>
  <c r="BB338" i="14" s="1"/>
  <c r="BE338" i="14"/>
  <c r="BG338" i="14" s="1"/>
  <c r="AZ339" i="14"/>
  <c r="BB339" i="14" s="1"/>
  <c r="BE339" i="14"/>
  <c r="BG339" i="14" s="1"/>
  <c r="AZ340" i="14"/>
  <c r="BB340" i="14" s="1"/>
  <c r="BE340" i="14"/>
  <c r="BG340" i="14" s="1"/>
  <c r="AZ341" i="14"/>
  <c r="BE341" i="14"/>
  <c r="BG341" i="14" s="1"/>
  <c r="AZ342" i="14"/>
  <c r="BB342" i="14" s="1"/>
  <c r="BE342" i="14"/>
  <c r="BG342" i="14" s="1"/>
  <c r="AZ343" i="14"/>
  <c r="BB343" i="14" s="1"/>
  <c r="BE343" i="14"/>
  <c r="BG343" i="14" s="1"/>
  <c r="AZ344" i="14"/>
  <c r="BB344" i="14" s="1"/>
  <c r="BE344" i="14"/>
  <c r="BG344" i="14" s="1"/>
  <c r="AZ345" i="14"/>
  <c r="BE345" i="14"/>
  <c r="BG345" i="14" s="1"/>
  <c r="AZ346" i="14"/>
  <c r="BB346" i="14" s="1"/>
  <c r="BE346" i="14"/>
  <c r="BG346" i="14" s="1"/>
  <c r="AZ347" i="14"/>
  <c r="BB347" i="14" s="1"/>
  <c r="BE347" i="14"/>
  <c r="BG347" i="14" s="1"/>
  <c r="AZ348" i="14"/>
  <c r="BB348" i="14" s="1"/>
  <c r="BE348" i="14"/>
  <c r="BG348" i="14" s="1"/>
  <c r="AZ349" i="14"/>
  <c r="BE349" i="14"/>
  <c r="BG349" i="14" s="1"/>
  <c r="AZ350" i="14"/>
  <c r="BB350" i="14" s="1"/>
  <c r="BE350" i="14"/>
  <c r="BG350" i="14" s="1"/>
  <c r="AZ351" i="14"/>
  <c r="BB351" i="14" s="1"/>
  <c r="BE351" i="14"/>
  <c r="BG351" i="14" s="1"/>
  <c r="AZ352" i="14"/>
  <c r="BB352" i="14" s="1"/>
  <c r="BE352" i="14"/>
  <c r="BG352" i="14" s="1"/>
  <c r="AZ289" i="14"/>
  <c r="BE289" i="14"/>
  <c r="BG289" i="14" s="1"/>
  <c r="AZ290" i="14"/>
  <c r="BB290" i="14" s="1"/>
  <c r="BE290" i="14"/>
  <c r="BG290" i="14" s="1"/>
  <c r="AZ291" i="14"/>
  <c r="BB291" i="14" s="1"/>
  <c r="BE291" i="14"/>
  <c r="BG291" i="14" s="1"/>
  <c r="AZ292" i="14"/>
  <c r="BB292" i="14" s="1"/>
  <c r="BE292" i="14"/>
  <c r="BG292" i="14" s="1"/>
  <c r="AZ293" i="14"/>
  <c r="BE293" i="14"/>
  <c r="BG293" i="14" s="1"/>
  <c r="AZ294" i="14"/>
  <c r="BB294" i="14" s="1"/>
  <c r="BE294" i="14"/>
  <c r="BG294" i="14" s="1"/>
  <c r="AZ295" i="14"/>
  <c r="BB295" i="14" s="1"/>
  <c r="BE295" i="14"/>
  <c r="BG295" i="14" s="1"/>
  <c r="AZ296" i="14"/>
  <c r="BB296" i="14" s="1"/>
  <c r="BE296" i="14"/>
  <c r="BG296" i="14" s="1"/>
  <c r="AZ297" i="14"/>
  <c r="BE297" i="14"/>
  <c r="BG297" i="14" s="1"/>
  <c r="AZ298" i="14"/>
  <c r="BB298" i="14" s="1"/>
  <c r="BE298" i="14"/>
  <c r="BG298" i="14" s="1"/>
  <c r="AZ299" i="14"/>
  <c r="BB299" i="14" s="1"/>
  <c r="BE299" i="14"/>
  <c r="BG299" i="14" s="1"/>
  <c r="AZ300" i="14"/>
  <c r="BB300" i="14" s="1"/>
  <c r="BE300" i="14"/>
  <c r="BG300" i="14" s="1"/>
  <c r="AZ301" i="14"/>
  <c r="BE301" i="14"/>
  <c r="BG301" i="14" s="1"/>
  <c r="AZ302" i="14"/>
  <c r="BB302" i="14" s="1"/>
  <c r="BE302" i="14"/>
  <c r="BG302" i="14" s="1"/>
  <c r="AZ303" i="14"/>
  <c r="BB303" i="14" s="1"/>
  <c r="BE303" i="14"/>
  <c r="BG303" i="14" s="1"/>
  <c r="AZ304" i="14"/>
  <c r="BB304" i="14" s="1"/>
  <c r="BE304" i="14"/>
  <c r="BG304" i="14" s="1"/>
  <c r="AZ305" i="14"/>
  <c r="BE305" i="14"/>
  <c r="BG305" i="14" s="1"/>
  <c r="AZ306" i="14"/>
  <c r="BB306" i="14" s="1"/>
  <c r="BE306" i="14"/>
  <c r="BG306" i="14" s="1"/>
  <c r="AZ307" i="14"/>
  <c r="BB307" i="14" s="1"/>
  <c r="BE307" i="14"/>
  <c r="BG307" i="14" s="1"/>
  <c r="AZ308" i="14"/>
  <c r="BB308" i="14" s="1"/>
  <c r="BE308" i="14"/>
  <c r="BG308" i="14" s="1"/>
  <c r="AZ309" i="14"/>
  <c r="BE309" i="14"/>
  <c r="BG309" i="14" s="1"/>
  <c r="AZ310" i="14"/>
  <c r="BB310" i="14" s="1"/>
  <c r="BE310" i="14"/>
  <c r="BG310" i="14" s="1"/>
  <c r="AZ311" i="14"/>
  <c r="BB311" i="14" s="1"/>
  <c r="BE311" i="14"/>
  <c r="BG311" i="14" s="1"/>
  <c r="AZ312" i="14"/>
  <c r="BB312" i="14" s="1"/>
  <c r="BE312" i="14"/>
  <c r="BG312" i="14" s="1"/>
  <c r="AZ313" i="14"/>
  <c r="BE313" i="14"/>
  <c r="BG313" i="14" s="1"/>
  <c r="AZ314" i="14"/>
  <c r="BB314" i="14" s="1"/>
  <c r="BE314" i="14"/>
  <c r="BG314" i="14" s="1"/>
  <c r="AZ315" i="14"/>
  <c r="BB315" i="14" s="1"/>
  <c r="BE315" i="14"/>
  <c r="BG315" i="14" s="1"/>
  <c r="AZ316" i="14"/>
  <c r="BB316" i="14" s="1"/>
  <c r="BE316" i="14"/>
  <c r="BG316" i="14" s="1"/>
  <c r="AZ317" i="14"/>
  <c r="BE317" i="14"/>
  <c r="BG317" i="14" s="1"/>
  <c r="AZ318" i="14"/>
  <c r="BB318" i="14" s="1"/>
  <c r="BE318" i="14"/>
  <c r="BG318" i="14" s="1"/>
  <c r="AZ319" i="14"/>
  <c r="BB319" i="14" s="1"/>
  <c r="BE319" i="14"/>
  <c r="BG319" i="14" s="1"/>
  <c r="AZ320" i="14"/>
  <c r="BB320" i="14" s="1"/>
  <c r="BE320" i="14"/>
  <c r="BG320" i="14" s="1"/>
  <c r="AZ257" i="14"/>
  <c r="BE257" i="14"/>
  <c r="BG257" i="14" s="1"/>
  <c r="AZ258" i="14"/>
  <c r="BE258" i="14"/>
  <c r="BG258" i="14" s="1"/>
  <c r="AZ259" i="14"/>
  <c r="BB259" i="14" s="1"/>
  <c r="BE259" i="14"/>
  <c r="BG259" i="14" s="1"/>
  <c r="AZ260" i="14"/>
  <c r="BB260" i="14" s="1"/>
  <c r="BE260" i="14"/>
  <c r="BG260" i="14" s="1"/>
  <c r="AZ261" i="14"/>
  <c r="BE261" i="14"/>
  <c r="BG261" i="14" s="1"/>
  <c r="AZ262" i="14"/>
  <c r="BE262" i="14"/>
  <c r="BG262" i="14" s="1"/>
  <c r="AZ263" i="14"/>
  <c r="BB263" i="14" s="1"/>
  <c r="BE263" i="14"/>
  <c r="BG263" i="14" s="1"/>
  <c r="AZ264" i="14"/>
  <c r="BB264" i="14" s="1"/>
  <c r="BE264" i="14"/>
  <c r="BG264" i="14" s="1"/>
  <c r="AZ265" i="14"/>
  <c r="BE265" i="14"/>
  <c r="BG265" i="14" s="1"/>
  <c r="AZ266" i="14"/>
  <c r="BE266" i="14"/>
  <c r="BG266" i="14" s="1"/>
  <c r="AZ267" i="14"/>
  <c r="BB267" i="14" s="1"/>
  <c r="BE267" i="14"/>
  <c r="BG267" i="14" s="1"/>
  <c r="AZ268" i="14"/>
  <c r="BB268" i="14" s="1"/>
  <c r="BE268" i="14"/>
  <c r="BG268" i="14" s="1"/>
  <c r="AZ269" i="14"/>
  <c r="BE269" i="14"/>
  <c r="BG269" i="14" s="1"/>
  <c r="AZ270" i="14"/>
  <c r="BE270" i="14"/>
  <c r="BG270" i="14" s="1"/>
  <c r="AZ271" i="14"/>
  <c r="BB271" i="14" s="1"/>
  <c r="BE271" i="14"/>
  <c r="BG271" i="14" s="1"/>
  <c r="AZ272" i="14"/>
  <c r="BB272" i="14" s="1"/>
  <c r="BE272" i="14"/>
  <c r="BG272" i="14" s="1"/>
  <c r="AZ273" i="14"/>
  <c r="BE273" i="14"/>
  <c r="BG273" i="14" s="1"/>
  <c r="AZ274" i="14"/>
  <c r="BE274" i="14"/>
  <c r="BG274" i="14" s="1"/>
  <c r="AZ275" i="14"/>
  <c r="BB275" i="14" s="1"/>
  <c r="BE275" i="14"/>
  <c r="BG275" i="14" s="1"/>
  <c r="AZ276" i="14"/>
  <c r="BB276" i="14" s="1"/>
  <c r="BE276" i="14"/>
  <c r="BG276" i="14" s="1"/>
  <c r="AZ277" i="14"/>
  <c r="BE277" i="14"/>
  <c r="BG277" i="14" s="1"/>
  <c r="AZ278" i="14"/>
  <c r="BE278" i="14"/>
  <c r="BG278" i="14" s="1"/>
  <c r="AZ279" i="14"/>
  <c r="BB279" i="14" s="1"/>
  <c r="BE279" i="14"/>
  <c r="BG279" i="14" s="1"/>
  <c r="AZ280" i="14"/>
  <c r="BB280" i="14" s="1"/>
  <c r="BE280" i="14"/>
  <c r="BG280" i="14" s="1"/>
  <c r="AZ281" i="14"/>
  <c r="BE281" i="14"/>
  <c r="BG281" i="14" s="1"/>
  <c r="AZ282" i="14"/>
  <c r="BE282" i="14"/>
  <c r="BG282" i="14" s="1"/>
  <c r="AZ283" i="14"/>
  <c r="BB283" i="14" s="1"/>
  <c r="BE283" i="14"/>
  <c r="BG283" i="14" s="1"/>
  <c r="AZ284" i="14"/>
  <c r="BB284" i="14" s="1"/>
  <c r="BE284" i="14"/>
  <c r="BG284" i="14" s="1"/>
  <c r="AZ285" i="14"/>
  <c r="BE285" i="14"/>
  <c r="BG285" i="14" s="1"/>
  <c r="AZ286" i="14"/>
  <c r="BB286" i="14" s="1"/>
  <c r="BE286" i="14"/>
  <c r="BG286" i="14" s="1"/>
  <c r="AZ287" i="14"/>
  <c r="BB287" i="14" s="1"/>
  <c r="BE287" i="14"/>
  <c r="BG287" i="14" s="1"/>
  <c r="AZ288" i="14"/>
  <c r="BB288" i="14" s="1"/>
  <c r="BE288" i="14"/>
  <c r="BG288" i="14" s="1"/>
  <c r="AZ225" i="14"/>
  <c r="BE225" i="14"/>
  <c r="BG225" i="14" s="1"/>
  <c r="AZ226" i="14"/>
  <c r="BE226" i="14"/>
  <c r="BG226" i="14" s="1"/>
  <c r="AZ227" i="14"/>
  <c r="BB227" i="14" s="1"/>
  <c r="BE227" i="14"/>
  <c r="BG227" i="14" s="1"/>
  <c r="AZ228" i="14"/>
  <c r="BB228" i="14" s="1"/>
  <c r="BE228" i="14"/>
  <c r="BG228" i="14" s="1"/>
  <c r="AZ229" i="14"/>
  <c r="BE229" i="14"/>
  <c r="BG229" i="14" s="1"/>
  <c r="AZ230" i="14"/>
  <c r="BE230" i="14"/>
  <c r="BG230" i="14" s="1"/>
  <c r="AZ231" i="14"/>
  <c r="BB231" i="14" s="1"/>
  <c r="BE231" i="14"/>
  <c r="BG231" i="14" s="1"/>
  <c r="AZ232" i="14"/>
  <c r="BB232" i="14" s="1"/>
  <c r="BE232" i="14"/>
  <c r="BG232" i="14" s="1"/>
  <c r="AZ233" i="14"/>
  <c r="BE233" i="14"/>
  <c r="BG233" i="14" s="1"/>
  <c r="AZ234" i="14"/>
  <c r="BE234" i="14"/>
  <c r="BG234" i="14" s="1"/>
  <c r="AZ235" i="14"/>
  <c r="BB235" i="14" s="1"/>
  <c r="BE235" i="14"/>
  <c r="BG235" i="14" s="1"/>
  <c r="AZ236" i="14"/>
  <c r="BB236" i="14" s="1"/>
  <c r="BE236" i="14"/>
  <c r="BG236" i="14" s="1"/>
  <c r="AZ237" i="14"/>
  <c r="BE237" i="14"/>
  <c r="BG237" i="14" s="1"/>
  <c r="AZ238" i="14"/>
  <c r="BE238" i="14"/>
  <c r="BG238" i="14" s="1"/>
  <c r="AZ239" i="14"/>
  <c r="BB239" i="14" s="1"/>
  <c r="BE239" i="14"/>
  <c r="BG239" i="14" s="1"/>
  <c r="AZ240" i="14"/>
  <c r="BB240" i="14" s="1"/>
  <c r="BE240" i="14"/>
  <c r="BG240" i="14" s="1"/>
  <c r="AZ241" i="14"/>
  <c r="BE241" i="14"/>
  <c r="BG241" i="14" s="1"/>
  <c r="AZ242" i="14"/>
  <c r="BE242" i="14"/>
  <c r="BG242" i="14" s="1"/>
  <c r="AZ243" i="14"/>
  <c r="BB243" i="14" s="1"/>
  <c r="BE243" i="14"/>
  <c r="BG243" i="14" s="1"/>
  <c r="AZ244" i="14"/>
  <c r="BB244" i="14" s="1"/>
  <c r="BE244" i="14"/>
  <c r="BG244" i="14" s="1"/>
  <c r="AZ245" i="14"/>
  <c r="BE245" i="14"/>
  <c r="BG245" i="14" s="1"/>
  <c r="AZ246" i="14"/>
  <c r="BE246" i="14"/>
  <c r="BG246" i="14" s="1"/>
  <c r="AZ247" i="14"/>
  <c r="BB247" i="14" s="1"/>
  <c r="BE247" i="14"/>
  <c r="BG247" i="14" s="1"/>
  <c r="AZ248" i="14"/>
  <c r="BB248" i="14" s="1"/>
  <c r="BE248" i="14"/>
  <c r="BG248" i="14" s="1"/>
  <c r="AZ249" i="14"/>
  <c r="BE249" i="14"/>
  <c r="BG249" i="14" s="1"/>
  <c r="AZ250" i="14"/>
  <c r="BE250" i="14"/>
  <c r="BG250" i="14" s="1"/>
  <c r="AZ251" i="14"/>
  <c r="BB251" i="14" s="1"/>
  <c r="BE251" i="14"/>
  <c r="BG251" i="14" s="1"/>
  <c r="AZ252" i="14"/>
  <c r="BB252" i="14" s="1"/>
  <c r="BE252" i="14"/>
  <c r="BG252" i="14" s="1"/>
  <c r="AZ253" i="14"/>
  <c r="BE253" i="14"/>
  <c r="BG253" i="14" s="1"/>
  <c r="AZ254" i="14"/>
  <c r="BE254" i="14"/>
  <c r="BG254" i="14" s="1"/>
  <c r="AZ255" i="14"/>
  <c r="BB255" i="14" s="1"/>
  <c r="BE255" i="14"/>
  <c r="BG255" i="14" s="1"/>
  <c r="AZ256" i="14"/>
  <c r="BB256" i="14" s="1"/>
  <c r="BE256" i="14"/>
  <c r="BG256" i="14" s="1"/>
  <c r="AZ193" i="14"/>
  <c r="BE193" i="14"/>
  <c r="BG193" i="14" s="1"/>
  <c r="AZ194" i="14"/>
  <c r="BE194" i="14"/>
  <c r="BG194" i="14" s="1"/>
  <c r="AZ195" i="14"/>
  <c r="BB195" i="14" s="1"/>
  <c r="BE195" i="14"/>
  <c r="BG195" i="14" s="1"/>
  <c r="AZ196" i="14"/>
  <c r="BB196" i="14" s="1"/>
  <c r="BE196" i="14"/>
  <c r="BG196" i="14" s="1"/>
  <c r="AZ197" i="14"/>
  <c r="BE197" i="14"/>
  <c r="BG197" i="14" s="1"/>
  <c r="AZ198" i="14"/>
  <c r="BE198" i="14"/>
  <c r="BG198" i="14" s="1"/>
  <c r="AZ199" i="14"/>
  <c r="BB199" i="14" s="1"/>
  <c r="BE199" i="14"/>
  <c r="BG199" i="14" s="1"/>
  <c r="AZ200" i="14"/>
  <c r="BB200" i="14" s="1"/>
  <c r="BE200" i="14"/>
  <c r="BG200" i="14" s="1"/>
  <c r="AZ201" i="14"/>
  <c r="BE201" i="14"/>
  <c r="BG201" i="14" s="1"/>
  <c r="AZ202" i="14"/>
  <c r="BE202" i="14"/>
  <c r="BG202" i="14" s="1"/>
  <c r="AZ203" i="14"/>
  <c r="BB203" i="14" s="1"/>
  <c r="BE203" i="14"/>
  <c r="BG203" i="14" s="1"/>
  <c r="AZ204" i="14"/>
  <c r="BB204" i="14" s="1"/>
  <c r="BE204" i="14"/>
  <c r="BG204" i="14" s="1"/>
  <c r="AZ205" i="14"/>
  <c r="BE205" i="14"/>
  <c r="BG205" i="14" s="1"/>
  <c r="AZ206" i="14"/>
  <c r="BE206" i="14"/>
  <c r="BG206" i="14" s="1"/>
  <c r="AZ207" i="14"/>
  <c r="BB207" i="14" s="1"/>
  <c r="BE207" i="14"/>
  <c r="BG207" i="14" s="1"/>
  <c r="AZ208" i="14"/>
  <c r="BB208" i="14" s="1"/>
  <c r="BE208" i="14"/>
  <c r="BG208" i="14" s="1"/>
  <c r="AZ209" i="14"/>
  <c r="BE209" i="14"/>
  <c r="BG209" i="14" s="1"/>
  <c r="AZ210" i="14"/>
  <c r="BE210" i="14"/>
  <c r="BG210" i="14" s="1"/>
  <c r="AZ211" i="14"/>
  <c r="BB211" i="14" s="1"/>
  <c r="BE211" i="14"/>
  <c r="BG211" i="14" s="1"/>
  <c r="AZ212" i="14"/>
  <c r="BB212" i="14" s="1"/>
  <c r="BE212" i="14"/>
  <c r="BG212" i="14" s="1"/>
  <c r="AZ213" i="14"/>
  <c r="BE213" i="14"/>
  <c r="BG213" i="14" s="1"/>
  <c r="AZ214" i="14"/>
  <c r="BE214" i="14"/>
  <c r="BG214" i="14" s="1"/>
  <c r="AZ215" i="14"/>
  <c r="BB215" i="14" s="1"/>
  <c r="BE215" i="14"/>
  <c r="BG215" i="14" s="1"/>
  <c r="AZ216" i="14"/>
  <c r="BB216" i="14" s="1"/>
  <c r="BE216" i="14"/>
  <c r="BG216" i="14" s="1"/>
  <c r="AZ217" i="14"/>
  <c r="BE217" i="14"/>
  <c r="BG217" i="14" s="1"/>
  <c r="AZ218" i="14"/>
  <c r="BE218" i="14"/>
  <c r="BG218" i="14" s="1"/>
  <c r="AZ219" i="14"/>
  <c r="BB219" i="14" s="1"/>
  <c r="BE219" i="14"/>
  <c r="BG219" i="14" s="1"/>
  <c r="AZ220" i="14"/>
  <c r="BB220" i="14" s="1"/>
  <c r="BE220" i="14"/>
  <c r="BG220" i="14" s="1"/>
  <c r="AZ221" i="14"/>
  <c r="BE221" i="14"/>
  <c r="BG221" i="14" s="1"/>
  <c r="AZ222" i="14"/>
  <c r="BE222" i="14"/>
  <c r="BG222" i="14" s="1"/>
  <c r="AZ223" i="14"/>
  <c r="BB223" i="14" s="1"/>
  <c r="BE223" i="14"/>
  <c r="BG223" i="14" s="1"/>
  <c r="AZ224" i="14"/>
  <c r="BB224" i="14" s="1"/>
  <c r="BE224" i="14"/>
  <c r="BG224" i="14" s="1"/>
  <c r="AZ161" i="14"/>
  <c r="BE161" i="14"/>
  <c r="AZ162" i="14"/>
  <c r="BE162" i="14"/>
  <c r="BG162" i="14" s="1"/>
  <c r="AZ163" i="14"/>
  <c r="BB163" i="14" s="1"/>
  <c r="BE163" i="14"/>
  <c r="BG163" i="14" s="1"/>
  <c r="AZ164" i="14"/>
  <c r="BB164" i="14" s="1"/>
  <c r="BE164" i="14"/>
  <c r="BG164" i="14" s="1"/>
  <c r="AZ165" i="14"/>
  <c r="BE165" i="14"/>
  <c r="BG165" i="14" s="1"/>
  <c r="AZ166" i="14"/>
  <c r="BE166" i="14"/>
  <c r="BG166" i="14" s="1"/>
  <c r="AZ167" i="14"/>
  <c r="BB167" i="14" s="1"/>
  <c r="BE167" i="14"/>
  <c r="BG167" i="14" s="1"/>
  <c r="AZ168" i="14"/>
  <c r="BB168" i="14" s="1"/>
  <c r="BE168" i="14"/>
  <c r="BG168" i="14" s="1"/>
  <c r="AZ169" i="14"/>
  <c r="BE169" i="14"/>
  <c r="BG169" i="14" s="1"/>
  <c r="AZ170" i="14"/>
  <c r="BE170" i="14"/>
  <c r="BG170" i="14" s="1"/>
  <c r="AZ171" i="14"/>
  <c r="BB171" i="14" s="1"/>
  <c r="BE171" i="14"/>
  <c r="BG171" i="14" s="1"/>
  <c r="AZ172" i="14"/>
  <c r="BB172" i="14" s="1"/>
  <c r="BE172" i="14"/>
  <c r="BG172" i="14" s="1"/>
  <c r="AZ173" i="14"/>
  <c r="BE173" i="14"/>
  <c r="BG173" i="14" s="1"/>
  <c r="AZ174" i="14"/>
  <c r="BE174" i="14"/>
  <c r="BG174" i="14" s="1"/>
  <c r="AZ175" i="14"/>
  <c r="BB175" i="14" s="1"/>
  <c r="BE175" i="14"/>
  <c r="BG175" i="14" s="1"/>
  <c r="AZ176" i="14"/>
  <c r="BB176" i="14" s="1"/>
  <c r="BE176" i="14"/>
  <c r="BG176" i="14" s="1"/>
  <c r="AZ177" i="14"/>
  <c r="BE177" i="14"/>
  <c r="BG177" i="14" s="1"/>
  <c r="AZ178" i="14"/>
  <c r="BE178" i="14"/>
  <c r="BG178" i="14" s="1"/>
  <c r="AZ179" i="14"/>
  <c r="BB179" i="14" s="1"/>
  <c r="BE179" i="14"/>
  <c r="BG179" i="14" s="1"/>
  <c r="AZ180" i="14"/>
  <c r="BB180" i="14" s="1"/>
  <c r="BE180" i="14"/>
  <c r="BG180" i="14" s="1"/>
  <c r="AZ181" i="14"/>
  <c r="BE181" i="14"/>
  <c r="BG181" i="14" s="1"/>
  <c r="AZ182" i="14"/>
  <c r="BE182" i="14"/>
  <c r="BG182" i="14" s="1"/>
  <c r="AZ183" i="14"/>
  <c r="BB183" i="14" s="1"/>
  <c r="BE183" i="14"/>
  <c r="BG183" i="14" s="1"/>
  <c r="AZ184" i="14"/>
  <c r="BB184" i="14" s="1"/>
  <c r="BE184" i="14"/>
  <c r="BG184" i="14" s="1"/>
  <c r="AZ185" i="14"/>
  <c r="BE185" i="14"/>
  <c r="BG185" i="14" s="1"/>
  <c r="AZ186" i="14"/>
  <c r="BE186" i="14"/>
  <c r="BG186" i="14" s="1"/>
  <c r="AZ187" i="14"/>
  <c r="BB187" i="14" s="1"/>
  <c r="BE187" i="14"/>
  <c r="BG187" i="14" s="1"/>
  <c r="AZ188" i="14"/>
  <c r="BB188" i="14" s="1"/>
  <c r="BE188" i="14"/>
  <c r="BG188" i="14" s="1"/>
  <c r="AZ189" i="14"/>
  <c r="BE189" i="14"/>
  <c r="BG189" i="14" s="1"/>
  <c r="AZ190" i="14"/>
  <c r="BE190" i="14"/>
  <c r="BG190" i="14" s="1"/>
  <c r="AZ191" i="14"/>
  <c r="BB191" i="14" s="1"/>
  <c r="BE191" i="14"/>
  <c r="BG191" i="14" s="1"/>
  <c r="AZ192" i="14"/>
  <c r="BB192" i="14" s="1"/>
  <c r="BE192" i="14"/>
  <c r="BG192" i="14" s="1"/>
  <c r="AZ129" i="14"/>
  <c r="BE129" i="14"/>
  <c r="AZ130" i="14"/>
  <c r="BE130" i="14"/>
  <c r="BG130" i="14" s="1"/>
  <c r="AZ131" i="14"/>
  <c r="BB131" i="14" s="1"/>
  <c r="BE131" i="14"/>
  <c r="BG131" i="14" s="1"/>
  <c r="AZ132" i="14"/>
  <c r="BB132" i="14" s="1"/>
  <c r="BE132" i="14"/>
  <c r="BG132" i="14" s="1"/>
  <c r="AZ133" i="14"/>
  <c r="BE133" i="14"/>
  <c r="AZ134" i="14"/>
  <c r="BE134" i="14"/>
  <c r="BG134" i="14" s="1"/>
  <c r="AZ135" i="14"/>
  <c r="BB135" i="14" s="1"/>
  <c r="BE135" i="14"/>
  <c r="BG135" i="14" s="1"/>
  <c r="AZ136" i="14"/>
  <c r="BB136" i="14" s="1"/>
  <c r="BE136" i="14"/>
  <c r="BG136" i="14" s="1"/>
  <c r="AZ137" i="14"/>
  <c r="BE137" i="14"/>
  <c r="AZ138" i="14"/>
  <c r="BE138" i="14"/>
  <c r="BG138" i="14" s="1"/>
  <c r="AZ139" i="14"/>
  <c r="BB139" i="14" s="1"/>
  <c r="BE139" i="14"/>
  <c r="BG139" i="14" s="1"/>
  <c r="AZ140" i="14"/>
  <c r="BB140" i="14" s="1"/>
  <c r="BE140" i="14"/>
  <c r="BG140" i="14" s="1"/>
  <c r="AZ141" i="14"/>
  <c r="BE141" i="14"/>
  <c r="AZ142" i="14"/>
  <c r="BE142" i="14"/>
  <c r="BG142" i="14" s="1"/>
  <c r="AZ143" i="14"/>
  <c r="BB143" i="14" s="1"/>
  <c r="BE143" i="14"/>
  <c r="BG143" i="14" s="1"/>
  <c r="AZ144" i="14"/>
  <c r="BB144" i="14" s="1"/>
  <c r="BE144" i="14"/>
  <c r="BG144" i="14" s="1"/>
  <c r="AZ145" i="14"/>
  <c r="BE145" i="14"/>
  <c r="AZ146" i="14"/>
  <c r="BE146" i="14"/>
  <c r="BG146" i="14" s="1"/>
  <c r="AZ147" i="14"/>
  <c r="BB147" i="14" s="1"/>
  <c r="BE147" i="14"/>
  <c r="BG147" i="14" s="1"/>
  <c r="AZ148" i="14"/>
  <c r="BB148" i="14" s="1"/>
  <c r="BE148" i="14"/>
  <c r="BG148" i="14" s="1"/>
  <c r="AZ149" i="14"/>
  <c r="BE149" i="14"/>
  <c r="AZ150" i="14"/>
  <c r="BE150" i="14"/>
  <c r="BG150" i="14" s="1"/>
  <c r="AZ151" i="14"/>
  <c r="BB151" i="14" s="1"/>
  <c r="BE151" i="14"/>
  <c r="BG151" i="14" s="1"/>
  <c r="AZ152" i="14"/>
  <c r="BB152" i="14" s="1"/>
  <c r="BE152" i="14"/>
  <c r="BG152" i="14" s="1"/>
  <c r="AZ153" i="14"/>
  <c r="BE153" i="14"/>
  <c r="AZ154" i="14"/>
  <c r="BE154" i="14"/>
  <c r="BG154" i="14" s="1"/>
  <c r="AZ155" i="14"/>
  <c r="BB155" i="14" s="1"/>
  <c r="BE155" i="14"/>
  <c r="BG155" i="14" s="1"/>
  <c r="AZ156" i="14"/>
  <c r="BB156" i="14" s="1"/>
  <c r="BE156" i="14"/>
  <c r="BG156" i="14" s="1"/>
  <c r="AZ157" i="14"/>
  <c r="BE157" i="14"/>
  <c r="AZ158" i="14"/>
  <c r="BE158" i="14"/>
  <c r="BG158" i="14" s="1"/>
  <c r="AZ159" i="14"/>
  <c r="BB159" i="14" s="1"/>
  <c r="BE159" i="14"/>
  <c r="BG159" i="14" s="1"/>
  <c r="AZ160" i="14"/>
  <c r="BB160" i="14" s="1"/>
  <c r="BE160" i="14"/>
  <c r="BG160" i="14" s="1"/>
  <c r="AZ97" i="14"/>
  <c r="BE97" i="14"/>
  <c r="AZ98" i="14"/>
  <c r="BE98" i="14"/>
  <c r="BG98" i="14" s="1"/>
  <c r="AZ99" i="14"/>
  <c r="BB99" i="14" s="1"/>
  <c r="BE99" i="14"/>
  <c r="AZ100" i="14"/>
  <c r="BB100" i="14" s="1"/>
  <c r="BE100" i="14"/>
  <c r="BG100" i="14" s="1"/>
  <c r="AZ101" i="14"/>
  <c r="BE101" i="14"/>
  <c r="AZ102" i="14"/>
  <c r="BE102" i="14"/>
  <c r="BG102" i="14" s="1"/>
  <c r="AZ103" i="14"/>
  <c r="BB103" i="14" s="1"/>
  <c r="BE103" i="14"/>
  <c r="AZ104" i="14"/>
  <c r="BB104" i="14" s="1"/>
  <c r="BE104" i="14"/>
  <c r="BG104" i="14" s="1"/>
  <c r="AZ105" i="14"/>
  <c r="BE105" i="14"/>
  <c r="AZ106" i="14"/>
  <c r="BE106" i="14"/>
  <c r="AZ107" i="14"/>
  <c r="BB107" i="14" s="1"/>
  <c r="BE107" i="14"/>
  <c r="AZ108" i="14"/>
  <c r="BB108" i="14" s="1"/>
  <c r="BE108" i="14"/>
  <c r="BG108" i="14" s="1"/>
  <c r="AZ109" i="14"/>
  <c r="BE109" i="14"/>
  <c r="AZ110" i="14"/>
  <c r="BE110" i="14"/>
  <c r="AZ111" i="14"/>
  <c r="BB111" i="14" s="1"/>
  <c r="BE111" i="14"/>
  <c r="BG111" i="14" s="1"/>
  <c r="AZ112" i="14"/>
  <c r="BE112" i="14"/>
  <c r="BG112" i="14" s="1"/>
  <c r="AZ113" i="14"/>
  <c r="BE113" i="14"/>
  <c r="AZ114" i="14"/>
  <c r="BE114" i="14"/>
  <c r="BG114" i="14" s="1"/>
  <c r="AZ115" i="14"/>
  <c r="BB115" i="14" s="1"/>
  <c r="BE115" i="14"/>
  <c r="BG115" i="14" s="1"/>
  <c r="AZ116" i="14"/>
  <c r="BB116" i="14" s="1"/>
  <c r="BE116" i="14"/>
  <c r="BG116" i="14" s="1"/>
  <c r="AZ117" i="14"/>
  <c r="BE117" i="14"/>
  <c r="AZ118" i="14"/>
  <c r="BE118" i="14"/>
  <c r="BG118" i="14" s="1"/>
  <c r="AZ119" i="14"/>
  <c r="BB119" i="14" s="1"/>
  <c r="BE119" i="14"/>
  <c r="BG119" i="14" s="1"/>
  <c r="AZ120" i="14"/>
  <c r="BB120" i="14" s="1"/>
  <c r="BE120" i="14"/>
  <c r="BG120" i="14" s="1"/>
  <c r="AZ121" i="14"/>
  <c r="BE121" i="14"/>
  <c r="AZ122" i="14"/>
  <c r="BE122" i="14"/>
  <c r="BG122" i="14" s="1"/>
  <c r="AZ123" i="14"/>
  <c r="BB123" i="14" s="1"/>
  <c r="BE123" i="14"/>
  <c r="BG123" i="14" s="1"/>
  <c r="AZ124" i="14"/>
  <c r="BB124" i="14" s="1"/>
  <c r="BE124" i="14"/>
  <c r="BG124" i="14" s="1"/>
  <c r="AZ125" i="14"/>
  <c r="BE125" i="14"/>
  <c r="AZ126" i="14"/>
  <c r="BE126" i="14"/>
  <c r="BG126" i="14" s="1"/>
  <c r="AZ127" i="14"/>
  <c r="BB127" i="14" s="1"/>
  <c r="BE127" i="14"/>
  <c r="BG127" i="14" s="1"/>
  <c r="AZ128" i="14"/>
  <c r="BB128" i="14" s="1"/>
  <c r="BE128" i="14"/>
  <c r="BG128" i="14" s="1"/>
  <c r="AZ65" i="14"/>
  <c r="BB65" i="14" s="1"/>
  <c r="BE65" i="14"/>
  <c r="AZ66" i="14"/>
  <c r="BE66" i="14"/>
  <c r="BG66" i="14" s="1"/>
  <c r="AZ67" i="14"/>
  <c r="BE67" i="14"/>
  <c r="AZ68" i="14"/>
  <c r="BB68" i="14" s="1"/>
  <c r="BE68" i="14"/>
  <c r="BG68" i="14" s="1"/>
  <c r="AZ69" i="14"/>
  <c r="BB69" i="14" s="1"/>
  <c r="BE69" i="14"/>
  <c r="AZ70" i="14"/>
  <c r="BE70" i="14"/>
  <c r="BG70" i="14" s="1"/>
  <c r="AZ71" i="14"/>
  <c r="BE71" i="14"/>
  <c r="AZ72" i="14"/>
  <c r="BB72" i="14" s="1"/>
  <c r="BE72" i="14"/>
  <c r="BG72" i="14" s="1"/>
  <c r="AZ73" i="14"/>
  <c r="BB73" i="14" s="1"/>
  <c r="BE73" i="14"/>
  <c r="AZ74" i="14"/>
  <c r="BE74" i="14"/>
  <c r="BG74" i="14" s="1"/>
  <c r="AZ75" i="14"/>
  <c r="BE75" i="14"/>
  <c r="AZ76" i="14"/>
  <c r="BB76" i="14" s="1"/>
  <c r="BE76" i="14"/>
  <c r="BG76" i="14" s="1"/>
  <c r="AZ77" i="14"/>
  <c r="BB77" i="14" s="1"/>
  <c r="BE77" i="14"/>
  <c r="AZ78" i="14"/>
  <c r="BE78" i="14"/>
  <c r="BG78" i="14" s="1"/>
  <c r="AZ79" i="14"/>
  <c r="BE79" i="14"/>
  <c r="AZ80" i="14"/>
  <c r="BB80" i="14" s="1"/>
  <c r="BE80" i="14"/>
  <c r="BG80" i="14" s="1"/>
  <c r="AZ81" i="14"/>
  <c r="BB81" i="14" s="1"/>
  <c r="BE81" i="14"/>
  <c r="AZ82" i="14"/>
  <c r="BE82" i="14"/>
  <c r="BG82" i="14" s="1"/>
  <c r="AZ83" i="14"/>
  <c r="BE83" i="14"/>
  <c r="AZ84" i="14"/>
  <c r="BB84" i="14" s="1"/>
  <c r="BE84" i="14"/>
  <c r="BG84" i="14" s="1"/>
  <c r="AZ85" i="14"/>
  <c r="BB85" i="14" s="1"/>
  <c r="BE85" i="14"/>
  <c r="AZ86" i="14"/>
  <c r="BE86" i="14"/>
  <c r="BG86" i="14" s="1"/>
  <c r="AZ87" i="14"/>
  <c r="BE87" i="14"/>
  <c r="AZ88" i="14"/>
  <c r="BB88" i="14" s="1"/>
  <c r="BE88" i="14"/>
  <c r="BG88" i="14" s="1"/>
  <c r="AZ89" i="14"/>
  <c r="BB89" i="14" s="1"/>
  <c r="BE89" i="14"/>
  <c r="AZ90" i="14"/>
  <c r="BB90" i="14" s="1"/>
  <c r="BE90" i="14"/>
  <c r="BG90" i="14" s="1"/>
  <c r="AZ91" i="14"/>
  <c r="BB91" i="14" s="1"/>
  <c r="BE91" i="14"/>
  <c r="AZ92" i="14"/>
  <c r="BB92" i="14" s="1"/>
  <c r="BE92" i="14"/>
  <c r="BG92" i="14" s="1"/>
  <c r="AZ93" i="14"/>
  <c r="BE93" i="14"/>
  <c r="AZ94" i="14"/>
  <c r="BB94" i="14" s="1"/>
  <c r="BE94" i="14"/>
  <c r="BG94" i="14" s="1"/>
  <c r="AZ95" i="14"/>
  <c r="BB95" i="14" s="1"/>
  <c r="BE95" i="14"/>
  <c r="AZ96" i="14"/>
  <c r="BB96" i="14" s="1"/>
  <c r="BE96" i="14"/>
  <c r="BG96" i="14" s="1"/>
  <c r="AZ33" i="14"/>
  <c r="BB33" i="14" s="1"/>
  <c r="BE33" i="14"/>
  <c r="AZ34" i="14"/>
  <c r="BE34" i="14"/>
  <c r="BG34" i="14" s="1"/>
  <c r="AZ35" i="14"/>
  <c r="BE35" i="14"/>
  <c r="AZ36" i="14"/>
  <c r="BB36" i="14" s="1"/>
  <c r="BE36" i="14"/>
  <c r="BG36" i="14" s="1"/>
  <c r="AZ37" i="14"/>
  <c r="BB37" i="14" s="1"/>
  <c r="BE37" i="14"/>
  <c r="AZ38" i="14"/>
  <c r="BE38" i="14"/>
  <c r="BG38" i="14" s="1"/>
  <c r="AZ39" i="14"/>
  <c r="BE39" i="14"/>
  <c r="AZ40" i="14"/>
  <c r="BB40" i="14" s="1"/>
  <c r="BE40" i="14"/>
  <c r="BG40" i="14" s="1"/>
  <c r="AZ41" i="14"/>
  <c r="BB41" i="14" s="1"/>
  <c r="BE41" i="14"/>
  <c r="AZ42" i="14"/>
  <c r="BE42" i="14"/>
  <c r="BG42" i="14" s="1"/>
  <c r="AZ43" i="14"/>
  <c r="BE43" i="14"/>
  <c r="AZ44" i="14"/>
  <c r="BB44" i="14" s="1"/>
  <c r="BE44" i="14"/>
  <c r="BG44" i="14" s="1"/>
  <c r="AZ45" i="14"/>
  <c r="BB45" i="14" s="1"/>
  <c r="BE45" i="14"/>
  <c r="AZ46" i="14"/>
  <c r="BE46" i="14"/>
  <c r="BG46" i="14" s="1"/>
  <c r="AZ47" i="14"/>
  <c r="BE47" i="14"/>
  <c r="AZ48" i="14"/>
  <c r="BB48" i="14" s="1"/>
  <c r="BE48" i="14"/>
  <c r="BG48" i="14" s="1"/>
  <c r="AZ49" i="14"/>
  <c r="BB49" i="14" s="1"/>
  <c r="BE49" i="14"/>
  <c r="AZ50" i="14"/>
  <c r="BE50" i="14"/>
  <c r="BG50" i="14" s="1"/>
  <c r="AZ51" i="14"/>
  <c r="BE51" i="14"/>
  <c r="AZ52" i="14"/>
  <c r="BB52" i="14" s="1"/>
  <c r="BE52" i="14"/>
  <c r="BG52" i="14" s="1"/>
  <c r="AZ53" i="14"/>
  <c r="BB53" i="14" s="1"/>
  <c r="BE53" i="14"/>
  <c r="AZ54" i="14"/>
  <c r="BE54" i="14"/>
  <c r="BG54" i="14" s="1"/>
  <c r="AZ55" i="14"/>
  <c r="BE55" i="14"/>
  <c r="AZ56" i="14"/>
  <c r="BB56" i="14" s="1"/>
  <c r="BE56" i="14"/>
  <c r="BG56" i="14" s="1"/>
  <c r="AZ57" i="14"/>
  <c r="BB57" i="14" s="1"/>
  <c r="BE57" i="14"/>
  <c r="AZ58" i="14"/>
  <c r="BE58" i="14"/>
  <c r="BG58" i="14" s="1"/>
  <c r="AZ59" i="14"/>
  <c r="BE59" i="14"/>
  <c r="AZ60" i="14"/>
  <c r="BB60" i="14" s="1"/>
  <c r="BE60" i="14"/>
  <c r="BG60" i="14" s="1"/>
  <c r="AZ61" i="14"/>
  <c r="BB61" i="14" s="1"/>
  <c r="BE61" i="14"/>
  <c r="AZ62" i="14"/>
  <c r="BE62" i="14"/>
  <c r="BG62" i="14" s="1"/>
  <c r="AZ63" i="14"/>
  <c r="BE63" i="14"/>
  <c r="AZ64" i="14"/>
  <c r="BB64" i="14" s="1"/>
  <c r="BE64" i="14"/>
  <c r="BG64" i="14" s="1"/>
  <c r="AZ1" i="14"/>
  <c r="BB1" i="14" s="1"/>
  <c r="BE1" i="14"/>
  <c r="AZ2" i="14"/>
  <c r="BE2" i="14"/>
  <c r="BG2" i="14" s="1"/>
  <c r="AZ3" i="14"/>
  <c r="BE3" i="14"/>
  <c r="AZ4" i="14"/>
  <c r="BB4" i="14" s="1"/>
  <c r="BE4" i="14"/>
  <c r="BG4" i="14" s="1"/>
  <c r="AZ5" i="14"/>
  <c r="BB5" i="14" s="1"/>
  <c r="BE5" i="14"/>
  <c r="AZ6" i="14"/>
  <c r="BE6" i="14"/>
  <c r="BG6" i="14" s="1"/>
  <c r="AZ7" i="14"/>
  <c r="BE7" i="14"/>
  <c r="AZ8" i="14"/>
  <c r="BB8" i="14" s="1"/>
  <c r="BE8" i="14"/>
  <c r="BG8" i="14" s="1"/>
  <c r="AZ9" i="14"/>
  <c r="BB9" i="14" s="1"/>
  <c r="BE9" i="14"/>
  <c r="AZ10" i="14"/>
  <c r="BE10" i="14"/>
  <c r="BG10" i="14" s="1"/>
  <c r="AZ11" i="14"/>
  <c r="BE11" i="14"/>
  <c r="AZ12" i="14"/>
  <c r="BB12" i="14" s="1"/>
  <c r="BE12" i="14"/>
  <c r="BG12" i="14" s="1"/>
  <c r="AZ13" i="14"/>
  <c r="BB13" i="14" s="1"/>
  <c r="BE13" i="14"/>
  <c r="AZ14" i="14"/>
  <c r="BE14" i="14"/>
  <c r="BG14" i="14" s="1"/>
  <c r="AZ15" i="14"/>
  <c r="BE15" i="14"/>
  <c r="AZ16" i="14"/>
  <c r="BB16" i="14" s="1"/>
  <c r="BE16" i="14"/>
  <c r="BG16" i="14" s="1"/>
  <c r="AZ17" i="14"/>
  <c r="BB17" i="14" s="1"/>
  <c r="BE17" i="14"/>
  <c r="AZ18" i="14"/>
  <c r="BE18" i="14"/>
  <c r="BG18" i="14" s="1"/>
  <c r="AZ19" i="14"/>
  <c r="BE19" i="14"/>
  <c r="AZ20" i="14"/>
  <c r="BB20" i="14" s="1"/>
  <c r="BE20" i="14"/>
  <c r="BG20" i="14" s="1"/>
  <c r="AZ21" i="14"/>
  <c r="BB21" i="14" s="1"/>
  <c r="BE21" i="14"/>
  <c r="AZ22" i="14"/>
  <c r="BE22" i="14"/>
  <c r="BG22" i="14" s="1"/>
  <c r="AZ23" i="14"/>
  <c r="BE23" i="14"/>
  <c r="AZ24" i="14"/>
  <c r="BB24" i="14" s="1"/>
  <c r="BE24" i="14"/>
  <c r="BG24" i="14" s="1"/>
  <c r="AZ25" i="14"/>
  <c r="BB25" i="14" s="1"/>
  <c r="BE25" i="14"/>
  <c r="AZ26" i="14"/>
  <c r="BE26" i="14"/>
  <c r="BG26" i="14" s="1"/>
  <c r="AZ27" i="14"/>
  <c r="BE27" i="14"/>
  <c r="AZ28" i="14"/>
  <c r="BB28" i="14" s="1"/>
  <c r="BE28" i="14"/>
  <c r="BG28" i="14" s="1"/>
  <c r="AZ29" i="14"/>
  <c r="BB29" i="14" s="1"/>
  <c r="BE29" i="14"/>
  <c r="AZ30" i="14"/>
  <c r="BE30" i="14"/>
  <c r="BG30" i="14" s="1"/>
  <c r="AZ31" i="14"/>
  <c r="BE31" i="14"/>
  <c r="AZ32" i="14"/>
  <c r="BB32" i="14" s="1"/>
  <c r="BE32" i="14"/>
  <c r="BG32" i="14" s="1"/>
  <c r="BB30" i="14" l="1"/>
  <c r="BB26" i="14"/>
  <c r="BB22" i="14"/>
  <c r="BB18" i="14"/>
  <c r="BB14" i="14"/>
  <c r="BB10" i="14"/>
  <c r="BB6" i="14"/>
  <c r="BB2" i="14"/>
  <c r="BB62" i="14"/>
  <c r="BB58" i="14"/>
  <c r="BB54" i="14"/>
  <c r="BB50" i="14"/>
  <c r="BB46" i="14"/>
  <c r="BB42" i="14"/>
  <c r="BB38" i="14"/>
  <c r="BB34" i="14"/>
  <c r="BB86" i="14"/>
  <c r="BB82" i="14"/>
  <c r="BB78" i="14"/>
  <c r="BB74" i="14"/>
  <c r="BB70" i="14"/>
  <c r="BB66" i="14"/>
  <c r="BG25" i="14"/>
  <c r="BG17" i="14"/>
  <c r="BG5" i="14"/>
  <c r="BG61" i="14"/>
  <c r="BG53" i="14"/>
  <c r="BG45" i="14"/>
  <c r="BG37" i="14"/>
  <c r="BG85" i="14"/>
  <c r="BG77" i="14"/>
  <c r="BG69" i="14"/>
  <c r="BG125" i="14"/>
  <c r="BG117" i="14"/>
  <c r="BG157" i="14"/>
  <c r="BG149" i="14"/>
  <c r="BG141" i="14"/>
  <c r="BG133" i="14"/>
  <c r="BG129" i="14"/>
  <c r="BG29" i="14"/>
  <c r="BG21" i="14"/>
  <c r="BG13" i="14"/>
  <c r="BG9" i="14"/>
  <c r="BG1" i="14"/>
  <c r="BG57" i="14"/>
  <c r="BG49" i="14"/>
  <c r="BG41" i="14"/>
  <c r="BG33" i="14"/>
  <c r="BG81" i="14"/>
  <c r="BG73" i="14"/>
  <c r="BG65" i="14"/>
  <c r="BG121" i="14"/>
  <c r="BG113" i="14"/>
  <c r="BG153" i="14"/>
  <c r="BG145" i="14"/>
  <c r="BG137" i="14"/>
  <c r="BG161" i="14"/>
  <c r="BB93" i="14"/>
  <c r="BB126" i="14"/>
  <c r="BB122" i="14"/>
  <c r="BB118" i="14"/>
  <c r="BB114" i="14"/>
  <c r="BB110" i="14"/>
  <c r="BB106" i="14"/>
  <c r="BB158" i="14"/>
  <c r="BB154" i="14"/>
  <c r="BB150" i="14"/>
  <c r="BB146" i="14"/>
  <c r="BB142" i="14"/>
  <c r="BB138" i="14"/>
  <c r="BB134" i="14"/>
  <c r="BB130" i="14"/>
  <c r="BB190" i="14"/>
  <c r="BB186" i="14"/>
  <c r="BB182" i="14"/>
  <c r="BB178" i="14"/>
  <c r="BB174" i="14"/>
  <c r="BB170" i="14"/>
  <c r="BB166" i="14"/>
  <c r="BB162" i="14"/>
  <c r="BB222" i="14"/>
  <c r="BB218" i="14"/>
  <c r="BB214" i="14"/>
  <c r="BB210" i="14"/>
  <c r="BB206" i="14"/>
  <c r="BB202" i="14"/>
  <c r="BB198" i="14"/>
  <c r="BB194" i="14"/>
  <c r="BB254" i="14"/>
  <c r="BB250" i="14"/>
  <c r="BB246" i="14"/>
  <c r="BB242" i="14"/>
  <c r="BB238" i="14"/>
  <c r="BB234" i="14"/>
  <c r="BB230" i="14"/>
  <c r="BB226" i="14"/>
  <c r="BB282" i="14"/>
  <c r="BB278" i="14"/>
  <c r="BB274" i="14"/>
  <c r="BB270" i="14"/>
  <c r="BB266" i="14"/>
  <c r="BB262" i="14"/>
  <c r="BB258" i="14"/>
  <c r="BB109" i="14"/>
  <c r="BB105" i="14"/>
  <c r="BB101" i="14"/>
  <c r="BB97" i="14"/>
  <c r="BG110" i="14"/>
  <c r="BG106" i="14"/>
  <c r="BG31" i="14"/>
  <c r="BG27" i="14"/>
  <c r="BG23" i="14"/>
  <c r="BG19" i="14"/>
  <c r="BG15" i="14"/>
  <c r="BG11" i="14"/>
  <c r="BG7" i="14"/>
  <c r="BG3" i="14"/>
  <c r="BG63" i="14"/>
  <c r="BG59" i="14"/>
  <c r="BG55" i="14"/>
  <c r="BG51" i="14"/>
  <c r="BG47" i="14"/>
  <c r="BG43" i="14"/>
  <c r="BG39" i="14"/>
  <c r="BG35" i="14"/>
  <c r="BG87" i="14"/>
  <c r="BG83" i="14"/>
  <c r="BG79" i="14"/>
  <c r="BG75" i="14"/>
  <c r="BG71" i="14"/>
  <c r="BG67" i="14"/>
  <c r="BB98" i="14"/>
  <c r="BB102" i="14"/>
  <c r="BB125" i="14"/>
  <c r="BB121" i="14"/>
  <c r="BB117" i="14"/>
  <c r="BB113" i="14"/>
  <c r="BB157" i="14"/>
  <c r="BB153" i="14"/>
  <c r="BB149" i="14"/>
  <c r="BB145" i="14"/>
  <c r="BB141" i="14"/>
  <c r="BB137" i="14"/>
  <c r="BB133" i="14"/>
  <c r="BB129" i="14"/>
  <c r="BB161" i="14"/>
  <c r="BB285" i="14"/>
  <c r="BB281" i="14"/>
  <c r="BB277" i="14"/>
  <c r="BB273" i="14"/>
  <c r="BB317" i="14"/>
  <c r="BB313" i="14"/>
  <c r="BB309" i="14"/>
  <c r="BB305" i="14"/>
  <c r="BB301" i="14"/>
  <c r="BB297" i="14"/>
  <c r="BB293" i="14"/>
  <c r="BB289" i="14"/>
  <c r="BB329" i="14"/>
  <c r="BB325" i="14"/>
  <c r="BB321" i="14"/>
  <c r="BB31" i="14"/>
  <c r="BB27" i="14"/>
  <c r="BB23" i="14"/>
  <c r="BB19" i="14"/>
  <c r="BB15" i="14"/>
  <c r="BB11" i="14"/>
  <c r="BB7" i="14"/>
  <c r="BB3" i="14"/>
  <c r="BB63" i="14"/>
  <c r="BB59" i="14"/>
  <c r="BB55" i="14"/>
  <c r="BB51" i="14"/>
  <c r="BB47" i="14"/>
  <c r="BB43" i="14"/>
  <c r="BB39" i="14"/>
  <c r="BB35" i="14"/>
  <c r="BB83" i="14"/>
  <c r="BB79" i="14"/>
  <c r="BB75" i="14"/>
  <c r="BB71" i="14"/>
  <c r="BB67" i="14"/>
  <c r="BB189" i="14"/>
  <c r="BB185" i="14"/>
  <c r="BB181" i="14"/>
  <c r="BB177" i="14"/>
  <c r="BB173" i="14"/>
  <c r="BB169" i="14"/>
  <c r="BB165" i="14"/>
  <c r="BB221" i="14"/>
  <c r="BB217" i="14"/>
  <c r="BB213" i="14"/>
  <c r="BB209" i="14"/>
  <c r="BB205" i="14"/>
  <c r="BB201" i="14"/>
  <c r="BB197" i="14"/>
  <c r="BB193" i="14"/>
  <c r="BB253" i="14"/>
  <c r="BB249" i="14"/>
  <c r="BB245" i="14"/>
  <c r="BB241" i="14"/>
  <c r="BB237" i="14"/>
  <c r="BB233" i="14"/>
  <c r="BB229" i="14"/>
  <c r="BB225" i="14"/>
  <c r="BB269" i="14"/>
  <c r="BB265" i="14"/>
  <c r="BB261" i="14"/>
  <c r="BB257" i="14"/>
  <c r="BB349" i="14"/>
  <c r="BB345" i="14"/>
  <c r="BB341" i="14"/>
  <c r="BB337" i="14"/>
  <c r="BB333" i="14"/>
  <c r="BB381" i="14"/>
  <c r="BB377" i="14"/>
  <c r="BB373" i="14"/>
  <c r="BB369" i="14"/>
  <c r="BB365" i="14"/>
  <c r="BB361" i="14"/>
  <c r="BB357" i="14"/>
  <c r="BB353" i="14"/>
  <c r="BB409" i="14"/>
  <c r="BB401" i="14"/>
  <c r="BB397" i="14"/>
  <c r="BB393" i="14"/>
  <c r="BB389" i="14"/>
  <c r="BB385" i="14"/>
  <c r="BB441" i="14"/>
  <c r="BB433" i="14"/>
  <c r="BB425" i="14"/>
  <c r="BB417" i="14"/>
  <c r="BB473" i="14"/>
  <c r="BB465" i="14"/>
  <c r="BB457" i="14"/>
  <c r="BB449" i="14"/>
  <c r="BB505" i="14"/>
  <c r="BB497" i="14"/>
  <c r="BB489" i="14"/>
  <c r="BB481" i="14"/>
  <c r="BB537" i="14"/>
  <c r="BB529" i="14"/>
  <c r="BB521" i="14"/>
  <c r="BB513" i="14"/>
  <c r="BB569" i="14"/>
  <c r="BB561" i="14"/>
  <c r="BB553" i="14"/>
  <c r="BB545" i="14"/>
  <c r="BB593" i="14"/>
  <c r="BB585" i="14"/>
  <c r="BB577" i="14"/>
  <c r="D106" i="14" l="1"/>
  <c r="D107" i="14"/>
  <c r="D112" i="14" s="1"/>
  <c r="E107" i="14"/>
  <c r="E106" i="14"/>
  <c r="E111" i="14" s="1"/>
  <c r="E83" i="14"/>
  <c r="D83" i="14"/>
  <c r="E88" i="14" s="1"/>
  <c r="E82" i="14"/>
  <c r="D82" i="14"/>
  <c r="E112" i="14" l="1"/>
  <c r="E113" i="14" s="1"/>
  <c r="D111" i="14"/>
  <c r="D113" i="14" s="1"/>
  <c r="E119" i="14"/>
  <c r="E118" i="14"/>
  <c r="E117" i="14"/>
  <c r="E120" i="14" s="1"/>
  <c r="E95" i="14"/>
  <c r="D88" i="14"/>
  <c r="F88" i="14" s="1"/>
  <c r="E93" i="14"/>
  <c r="E94" i="14"/>
  <c r="E87" i="14"/>
  <c r="E89" i="14" s="1"/>
  <c r="D87" i="14"/>
  <c r="F111" i="14"/>
  <c r="F112" i="14" l="1"/>
  <c r="E96" i="14"/>
  <c r="F113" i="14"/>
  <c r="F87" i="14"/>
  <c r="D89" i="14"/>
  <c r="F89" i="14" s="1"/>
</calcChain>
</file>

<file path=xl/sharedStrings.xml><?xml version="1.0" encoding="utf-8"?>
<sst xmlns="http://schemas.openxmlformats.org/spreadsheetml/2006/main" count="250" uniqueCount="139">
  <si>
    <t>Balance</t>
  </si>
  <si>
    <t>Customer</t>
  </si>
  <si>
    <t>Direct</t>
  </si>
  <si>
    <t>XLMiner: Data Partition Sheet</t>
  </si>
  <si>
    <t>Date: 24-Oct-2015 00:32:17</t>
  </si>
  <si>
    <t>Output Navigator</t>
  </si>
  <si>
    <t>Elapsed Times in Milliseconds</t>
  </si>
  <si>
    <t>Partitioning Time</t>
  </si>
  <si>
    <t>Report Time</t>
  </si>
  <si>
    <t>Total</t>
  </si>
  <si>
    <t>Data</t>
  </si>
  <si>
    <t>Data Source</t>
  </si>
  <si>
    <t>$A$1:$C$1001</t>
  </si>
  <si>
    <t>Selected Variables</t>
  </si>
  <si>
    <t>Partitioning Method</t>
  </si>
  <si>
    <t>Randomly Chosen</t>
  </si>
  <si>
    <t>Random Seed</t>
  </si>
  <si>
    <t># Variables</t>
  </si>
  <si>
    <t># Training Rows</t>
  </si>
  <si>
    <t># Validation Rows</t>
  </si>
  <si>
    <t># Test Rows</t>
  </si>
  <si>
    <t>Training Data</t>
  </si>
  <si>
    <t>Validation Data</t>
  </si>
  <si>
    <t>All Data</t>
  </si>
  <si>
    <t>Date: 24-Oct-2015 00:34:41</t>
  </si>
  <si>
    <t>Model</t>
  </si>
  <si>
    <t>k-Nearest Neighbors Classification</t>
  </si>
  <si>
    <t>Variables</t>
  </si>
  <si>
    <t># Selected Variables</t>
  </si>
  <si>
    <t>Variables Role</t>
  </si>
  <si>
    <t>Input</t>
  </si>
  <si>
    <t>Output</t>
  </si>
  <si>
    <t>Normalize Inputs</t>
  </si>
  <si>
    <t># Nearest Neighbors</t>
  </si>
  <si>
    <t>Best K</t>
  </si>
  <si>
    <t>Class</t>
  </si>
  <si>
    <t>Prior Probability</t>
  </si>
  <si>
    <t>F3:G3</t>
  </si>
  <si>
    <t>EMPIRICAL</t>
  </si>
  <si>
    <t>Variable Role</t>
  </si>
  <si>
    <t>F4:G4</t>
  </si>
  <si>
    <t>Class Labels</t>
  </si>
  <si>
    <t>F8:F9</t>
  </si>
  <si>
    <t>Prior Class Probabilities</t>
  </si>
  <si>
    <t>G8:G9</t>
  </si>
  <si>
    <t>Model Data</t>
  </si>
  <si>
    <t>F14:G613</t>
  </si>
  <si>
    <t>Output Column</t>
  </si>
  <si>
    <t>Scoring Type</t>
  </si>
  <si>
    <t>Success Class</t>
  </si>
  <si>
    <t>Success Probability Threshold</t>
  </si>
  <si>
    <t>Feature Rescaling (Min/Mean)</t>
  </si>
  <si>
    <t>F11:F11</t>
  </si>
  <si>
    <t>Feature Rescaling (Max/StdDev)</t>
  </si>
  <si>
    <t>F12:F12</t>
  </si>
  <si>
    <t>XLMiner : k-Nearest Neighbors - Classification of New Data</t>
  </si>
  <si>
    <t>Reading Data</t>
  </si>
  <si>
    <t>Computation</t>
  </si>
  <si>
    <t>Writing Data</t>
  </si>
  <si>
    <t>Workbook</t>
  </si>
  <si>
    <t>Sandhills.xlsx</t>
  </si>
  <si>
    <t>Worksheet</t>
  </si>
  <si>
    <t>Range</t>
  </si>
  <si>
    <t>$B$1:$B$201</t>
  </si>
  <si>
    <t>Predicted Class</t>
  </si>
  <si>
    <t>Prob. for 0</t>
  </si>
  <si>
    <t>Prob. for 1</t>
  </si>
  <si>
    <t>New Data Detail Rpt.</t>
  </si>
  <si>
    <t>Inputs</t>
  </si>
  <si>
    <t>Prior Class Prob.</t>
  </si>
  <si>
    <t>Valid. Error Log</t>
  </si>
  <si>
    <t>Train. Score - Summary</t>
  </si>
  <si>
    <t>Valid. Score - Summary</t>
  </si>
  <si>
    <t>Training Lift Chart</t>
  </si>
  <si>
    <t>Validation Lift Chart</t>
  </si>
  <si>
    <t>XLMiner: k-Nearest Neighbors Classification - Validation Data Lift Chart</t>
  </si>
  <si>
    <t>Serial no.</t>
  </si>
  <si>
    <t>Predicted Direct</t>
  </si>
  <si>
    <t>Actual Direct</t>
  </si>
  <si>
    <t>Cumulative Direct when sorted using predicted values</t>
  </si>
  <si>
    <t>Cumulative Direct using average</t>
  </si>
  <si>
    <t>Deciles</t>
  </si>
  <si>
    <t>Decile mean / Global mean</t>
  </si>
  <si>
    <t>X</t>
  </si>
  <si>
    <t>Y0</t>
  </si>
  <si>
    <t>Y1</t>
  </si>
  <si>
    <t>Decile</t>
  </si>
  <si>
    <t>Mean</t>
  </si>
  <si>
    <t>Std.Dev.</t>
  </si>
  <si>
    <t>Min.</t>
  </si>
  <si>
    <t>Max.</t>
  </si>
  <si>
    <t>XLMiner: k-Nearest Neighbors Classification - Training Data Lift Chart</t>
  </si>
  <si>
    <t>XLMiner : k-Nearest Neighbors Classification</t>
  </si>
  <si>
    <t>Data_Partition</t>
  </si>
  <si>
    <t>Training data used for building the model</t>
  </si>
  <si>
    <t>$B$21:$C$620</t>
  </si>
  <si>
    <t># Records in the training data</t>
  </si>
  <si>
    <t>Validation data</t>
  </si>
  <si>
    <t>$B$621:$C$1020</t>
  </si>
  <si>
    <t># Records in the validation data</t>
  </si>
  <si>
    <t># Input Variables</t>
  </si>
  <si>
    <t>Input variables</t>
  </si>
  <si>
    <t>Output variable</t>
  </si>
  <si>
    <t>Parameters/Options</t>
  </si>
  <si>
    <t>Normalize Input Data</t>
  </si>
  <si>
    <t>Yes</t>
  </si>
  <si>
    <t>Number of Nearest Neighbors (k)</t>
  </si>
  <si>
    <t>Score On</t>
  </si>
  <si>
    <t>Best k between 1 and 20</t>
  </si>
  <si>
    <t>Prior Probability Method</t>
  </si>
  <si>
    <t>According to relative occurrences in training data</t>
  </si>
  <si>
    <t>Output Options Chosen</t>
  </si>
  <si>
    <t>Summary report of scoring on training data</t>
  </si>
  <si>
    <t>Lift charts on training data</t>
  </si>
  <si>
    <t>Summary report of scoring on validation data</t>
  </si>
  <si>
    <t>Lift charts on validation data</t>
  </si>
  <si>
    <t>New worksheet data scores</t>
  </si>
  <si>
    <t>Prob.</t>
  </si>
  <si>
    <t>Validation error log for different k</t>
  </si>
  <si>
    <t>Value of k</t>
  </si>
  <si>
    <t>% Error
Training</t>
  </si>
  <si>
    <t>% Error
Validation</t>
  </si>
  <si>
    <t>&lt;- Best k</t>
  </si>
  <si>
    <t>Training Data Scoring - Summary Report (for k = 17)</t>
  </si>
  <si>
    <t>Cutoff probability value for success (UPDATABLE)</t>
  </si>
  <si>
    <t>Updating the value here will NOT update value in detailed report</t>
  </si>
  <si>
    <t>Confusion Matrix</t>
  </si>
  <si>
    <t>Actual Class</t>
  </si>
  <si>
    <t>Error Report</t>
  </si>
  <si>
    <t># Cases</t>
  </si>
  <si>
    <t># Errors</t>
  </si>
  <si>
    <t>% Error</t>
  </si>
  <si>
    <t>Overall</t>
  </si>
  <si>
    <t>Performance</t>
  </si>
  <si>
    <t>Precision</t>
  </si>
  <si>
    <t>Recall (Sensitivity)</t>
  </si>
  <si>
    <t>Specificity</t>
  </si>
  <si>
    <t>F1-Score</t>
  </si>
  <si>
    <t>Validation Data Scoring - Summary Report (for k =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</si>
</sst>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</font>
    <font>
      <sz val="8"/>
      <name val="Times New Roman"/>
      <family val="1"/>
    </font>
    <font>
      <b/>
      <sz val="12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b/>
      <sz val="10"/>
      <color rgb="FF4169E1"/>
      <name val="Calibri"/>
      <family val="2"/>
    </font>
    <font>
      <b/>
      <sz val="14"/>
      <color rgb="FF4169E1"/>
      <name val="Calibri"/>
      <family val="2"/>
    </font>
    <font>
      <u/>
      <sz val="12"/>
      <color theme="10"/>
      <name val="Times New Roman"/>
      <family val="1"/>
    </font>
    <font>
      <b/>
      <sz val="14"/>
      <name val="Calibri"/>
      <family val="2"/>
    </font>
    <font>
      <sz val="8"/>
      <color rgb="FF000000"/>
      <name val="Calibri"/>
      <family val="2"/>
    </font>
    <font>
      <sz val="8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  <fill>
      <patternFill patternType="solid">
        <fgColor rgb="FF538DD5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7" fillId="0" borderId="2" xfId="1" applyFill="1" applyBorder="1"/>
    <xf numFmtId="0" fontId="4" fillId="0" borderId="3" xfId="0" applyFont="1" applyFill="1" applyBorder="1"/>
    <xf numFmtId="0" fontId="0" fillId="3" borderId="0" xfId="0" applyFill="1"/>
    <xf numFmtId="0" fontId="0" fillId="2" borderId="0" xfId="0" applyFill="1"/>
    <xf numFmtId="0" fontId="8" fillId="0" borderId="0" xfId="0" applyFont="1" applyAlignment="1">
      <alignment horizontal="left"/>
    </xf>
    <xf numFmtId="0" fontId="4" fillId="0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Direct when sorted using predicted values</c:v>
          </c:tx>
          <c:spPr>
            <a:ln w="6350"/>
          </c:spPr>
          <c:marker>
            <c:symbol val="none"/>
          </c:marker>
          <c:xVal>
            <c:numRef>
              <c:f>KNNC_TrainingLiftChart!$AZ$4:$AZ$603</c:f>
              <c:numCache>
                <c:formatCode>General</c:formatCode>
                <c:ptCount val="6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</c:numCache>
            </c:numRef>
          </c:xVal>
          <c:yVal>
            <c:numRef>
              <c:f>KNNC_TrainingLiftChart!$BC$4:$BC$603</c:f>
              <c:numCache>
                <c:formatCode>General</c:formatCode>
                <c:ptCount val="6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119</c:v>
                </c:pt>
                <c:pt idx="122">
                  <c:v>120</c:v>
                </c:pt>
                <c:pt idx="123">
                  <c:v>121</c:v>
                </c:pt>
                <c:pt idx="124">
                  <c:v>122</c:v>
                </c:pt>
                <c:pt idx="125">
                  <c:v>123</c:v>
                </c:pt>
                <c:pt idx="126">
                  <c:v>124</c:v>
                </c:pt>
                <c:pt idx="127">
                  <c:v>125</c:v>
                </c:pt>
                <c:pt idx="128">
                  <c:v>126</c:v>
                </c:pt>
                <c:pt idx="129">
                  <c:v>127</c:v>
                </c:pt>
                <c:pt idx="130">
                  <c:v>128</c:v>
                </c:pt>
                <c:pt idx="131">
                  <c:v>129</c:v>
                </c:pt>
                <c:pt idx="132">
                  <c:v>130</c:v>
                </c:pt>
                <c:pt idx="133">
                  <c:v>131</c:v>
                </c:pt>
                <c:pt idx="134">
                  <c:v>132</c:v>
                </c:pt>
                <c:pt idx="135">
                  <c:v>132</c:v>
                </c:pt>
                <c:pt idx="136">
                  <c:v>132</c:v>
                </c:pt>
                <c:pt idx="137">
                  <c:v>133</c:v>
                </c:pt>
                <c:pt idx="138">
                  <c:v>134</c:v>
                </c:pt>
                <c:pt idx="139">
                  <c:v>135</c:v>
                </c:pt>
                <c:pt idx="140">
                  <c:v>136</c:v>
                </c:pt>
                <c:pt idx="141">
                  <c:v>136</c:v>
                </c:pt>
                <c:pt idx="142">
                  <c:v>137</c:v>
                </c:pt>
                <c:pt idx="143">
                  <c:v>138</c:v>
                </c:pt>
                <c:pt idx="144">
                  <c:v>139</c:v>
                </c:pt>
                <c:pt idx="145">
                  <c:v>140</c:v>
                </c:pt>
                <c:pt idx="146">
                  <c:v>141</c:v>
                </c:pt>
                <c:pt idx="147">
                  <c:v>141</c:v>
                </c:pt>
                <c:pt idx="148">
                  <c:v>142</c:v>
                </c:pt>
                <c:pt idx="149">
                  <c:v>143</c:v>
                </c:pt>
                <c:pt idx="150">
                  <c:v>144</c:v>
                </c:pt>
                <c:pt idx="151">
                  <c:v>144</c:v>
                </c:pt>
                <c:pt idx="152">
                  <c:v>144</c:v>
                </c:pt>
                <c:pt idx="153">
                  <c:v>145</c:v>
                </c:pt>
                <c:pt idx="154">
                  <c:v>146</c:v>
                </c:pt>
                <c:pt idx="155">
                  <c:v>147</c:v>
                </c:pt>
                <c:pt idx="156">
                  <c:v>148</c:v>
                </c:pt>
                <c:pt idx="157">
                  <c:v>149</c:v>
                </c:pt>
                <c:pt idx="158">
                  <c:v>150</c:v>
                </c:pt>
                <c:pt idx="159">
                  <c:v>151</c:v>
                </c:pt>
                <c:pt idx="160">
                  <c:v>152</c:v>
                </c:pt>
                <c:pt idx="161">
                  <c:v>153</c:v>
                </c:pt>
                <c:pt idx="162">
                  <c:v>154</c:v>
                </c:pt>
                <c:pt idx="163">
                  <c:v>154</c:v>
                </c:pt>
                <c:pt idx="164">
                  <c:v>155</c:v>
                </c:pt>
                <c:pt idx="165">
                  <c:v>156</c:v>
                </c:pt>
                <c:pt idx="166">
                  <c:v>156</c:v>
                </c:pt>
                <c:pt idx="167">
                  <c:v>156</c:v>
                </c:pt>
                <c:pt idx="168">
                  <c:v>156</c:v>
                </c:pt>
                <c:pt idx="169">
                  <c:v>156</c:v>
                </c:pt>
                <c:pt idx="170">
                  <c:v>157</c:v>
                </c:pt>
                <c:pt idx="171">
                  <c:v>158</c:v>
                </c:pt>
                <c:pt idx="172">
                  <c:v>159</c:v>
                </c:pt>
                <c:pt idx="173">
                  <c:v>159</c:v>
                </c:pt>
                <c:pt idx="174">
                  <c:v>159</c:v>
                </c:pt>
                <c:pt idx="175">
                  <c:v>160</c:v>
                </c:pt>
                <c:pt idx="176">
                  <c:v>161</c:v>
                </c:pt>
                <c:pt idx="177">
                  <c:v>162</c:v>
                </c:pt>
                <c:pt idx="178">
                  <c:v>162</c:v>
                </c:pt>
                <c:pt idx="179">
                  <c:v>163</c:v>
                </c:pt>
                <c:pt idx="180">
                  <c:v>164</c:v>
                </c:pt>
                <c:pt idx="181">
                  <c:v>165</c:v>
                </c:pt>
                <c:pt idx="182">
                  <c:v>166</c:v>
                </c:pt>
                <c:pt idx="183">
                  <c:v>166</c:v>
                </c:pt>
                <c:pt idx="184">
                  <c:v>167</c:v>
                </c:pt>
                <c:pt idx="185">
                  <c:v>168</c:v>
                </c:pt>
                <c:pt idx="186">
                  <c:v>168</c:v>
                </c:pt>
                <c:pt idx="187">
                  <c:v>168</c:v>
                </c:pt>
                <c:pt idx="188">
                  <c:v>168</c:v>
                </c:pt>
                <c:pt idx="189">
                  <c:v>168</c:v>
                </c:pt>
                <c:pt idx="190">
                  <c:v>168</c:v>
                </c:pt>
                <c:pt idx="191">
                  <c:v>169</c:v>
                </c:pt>
                <c:pt idx="192">
                  <c:v>169</c:v>
                </c:pt>
                <c:pt idx="193">
                  <c:v>169</c:v>
                </c:pt>
                <c:pt idx="194">
                  <c:v>169</c:v>
                </c:pt>
                <c:pt idx="195">
                  <c:v>169</c:v>
                </c:pt>
                <c:pt idx="196">
                  <c:v>170</c:v>
                </c:pt>
                <c:pt idx="197">
                  <c:v>171</c:v>
                </c:pt>
                <c:pt idx="198">
                  <c:v>172</c:v>
                </c:pt>
                <c:pt idx="199">
                  <c:v>173</c:v>
                </c:pt>
                <c:pt idx="200">
                  <c:v>174</c:v>
                </c:pt>
                <c:pt idx="201">
                  <c:v>174</c:v>
                </c:pt>
                <c:pt idx="202">
                  <c:v>174</c:v>
                </c:pt>
                <c:pt idx="203">
                  <c:v>174</c:v>
                </c:pt>
                <c:pt idx="204">
                  <c:v>175</c:v>
                </c:pt>
                <c:pt idx="205">
                  <c:v>175</c:v>
                </c:pt>
                <c:pt idx="206">
                  <c:v>175</c:v>
                </c:pt>
                <c:pt idx="207">
                  <c:v>175</c:v>
                </c:pt>
                <c:pt idx="208">
                  <c:v>176</c:v>
                </c:pt>
                <c:pt idx="209">
                  <c:v>177</c:v>
                </c:pt>
                <c:pt idx="210">
                  <c:v>178</c:v>
                </c:pt>
                <c:pt idx="211">
                  <c:v>179</c:v>
                </c:pt>
                <c:pt idx="212">
                  <c:v>180</c:v>
                </c:pt>
                <c:pt idx="213">
                  <c:v>181</c:v>
                </c:pt>
                <c:pt idx="214">
                  <c:v>181</c:v>
                </c:pt>
                <c:pt idx="215">
                  <c:v>181</c:v>
                </c:pt>
                <c:pt idx="216">
                  <c:v>181</c:v>
                </c:pt>
                <c:pt idx="217">
                  <c:v>181</c:v>
                </c:pt>
                <c:pt idx="218">
                  <c:v>181</c:v>
                </c:pt>
                <c:pt idx="219">
                  <c:v>182</c:v>
                </c:pt>
                <c:pt idx="220">
                  <c:v>182</c:v>
                </c:pt>
                <c:pt idx="221">
                  <c:v>183</c:v>
                </c:pt>
                <c:pt idx="222">
                  <c:v>183</c:v>
                </c:pt>
                <c:pt idx="223">
                  <c:v>183</c:v>
                </c:pt>
                <c:pt idx="224">
                  <c:v>184</c:v>
                </c:pt>
                <c:pt idx="225">
                  <c:v>184</c:v>
                </c:pt>
                <c:pt idx="226">
                  <c:v>184</c:v>
                </c:pt>
                <c:pt idx="227">
                  <c:v>185</c:v>
                </c:pt>
                <c:pt idx="228">
                  <c:v>186</c:v>
                </c:pt>
                <c:pt idx="229">
                  <c:v>187</c:v>
                </c:pt>
                <c:pt idx="230">
                  <c:v>187</c:v>
                </c:pt>
                <c:pt idx="231">
                  <c:v>187</c:v>
                </c:pt>
                <c:pt idx="232">
                  <c:v>188</c:v>
                </c:pt>
                <c:pt idx="233">
                  <c:v>188</c:v>
                </c:pt>
                <c:pt idx="234">
                  <c:v>188</c:v>
                </c:pt>
                <c:pt idx="235">
                  <c:v>188</c:v>
                </c:pt>
                <c:pt idx="236">
                  <c:v>188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190</c:v>
                </c:pt>
                <c:pt idx="241">
                  <c:v>190</c:v>
                </c:pt>
                <c:pt idx="242">
                  <c:v>190</c:v>
                </c:pt>
                <c:pt idx="243">
                  <c:v>190</c:v>
                </c:pt>
                <c:pt idx="244">
                  <c:v>190</c:v>
                </c:pt>
                <c:pt idx="245">
                  <c:v>190</c:v>
                </c:pt>
                <c:pt idx="246">
                  <c:v>190</c:v>
                </c:pt>
                <c:pt idx="247">
                  <c:v>190</c:v>
                </c:pt>
                <c:pt idx="248">
                  <c:v>190</c:v>
                </c:pt>
                <c:pt idx="249">
                  <c:v>190</c:v>
                </c:pt>
                <c:pt idx="250">
                  <c:v>190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196</c:v>
                </c:pt>
                <c:pt idx="272">
                  <c:v>196</c:v>
                </c:pt>
                <c:pt idx="273">
                  <c:v>196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196</c:v>
                </c:pt>
                <c:pt idx="283">
                  <c:v>196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197</c:v>
                </c:pt>
                <c:pt idx="303">
                  <c:v>197</c:v>
                </c:pt>
                <c:pt idx="304">
                  <c:v>197</c:v>
                </c:pt>
                <c:pt idx="305">
                  <c:v>197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197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198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0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199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199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199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199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199</c:v>
                </c:pt>
                <c:pt idx="456">
                  <c:v>199</c:v>
                </c:pt>
                <c:pt idx="457">
                  <c:v>199</c:v>
                </c:pt>
                <c:pt idx="458">
                  <c:v>199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199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199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199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199</c:v>
                </c:pt>
                <c:pt idx="575">
                  <c:v>199</c:v>
                </c:pt>
                <c:pt idx="576">
                  <c:v>199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199</c:v>
                </c:pt>
                <c:pt idx="586">
                  <c:v>199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3A-4097-A75F-EE2D7CE05FFC}"/>
            </c:ext>
          </c:extLst>
        </c:ser>
        <c:ser>
          <c:idx val="1"/>
          <c:order val="1"/>
          <c:tx>
            <c:v>Cumulative Direct using average</c:v>
          </c:tx>
          <c:spPr>
            <a:ln w="6350"/>
          </c:spPr>
          <c:marker>
            <c:symbol val="none"/>
          </c:marker>
          <c:xVal>
            <c:numRef>
              <c:f>KNNC_TrainingLiftChart!$AZ$4:$AZ$603</c:f>
              <c:numCache>
                <c:formatCode>General</c:formatCode>
                <c:ptCount val="6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</c:numCache>
            </c:numRef>
          </c:xVal>
          <c:yVal>
            <c:numRef>
              <c:f>KNNC_TrainingLiftChart!$BD$4:$BD$603</c:f>
              <c:numCache>
                <c:formatCode>General</c:formatCode>
                <c:ptCount val="600"/>
                <c:pt idx="0">
                  <c:v>0.33166666666666667</c:v>
                </c:pt>
                <c:pt idx="1">
                  <c:v>0.66333333333333333</c:v>
                </c:pt>
                <c:pt idx="2">
                  <c:v>0.995</c:v>
                </c:pt>
                <c:pt idx="3">
                  <c:v>1.3266666666666667</c:v>
                </c:pt>
                <c:pt idx="4">
                  <c:v>1.6583333333333332</c:v>
                </c:pt>
                <c:pt idx="5">
                  <c:v>1.99</c:v>
                </c:pt>
                <c:pt idx="6">
                  <c:v>2.3216666666666668</c:v>
                </c:pt>
                <c:pt idx="7">
                  <c:v>2.6533333333333333</c:v>
                </c:pt>
                <c:pt idx="8">
                  <c:v>2.9849999999999999</c:v>
                </c:pt>
                <c:pt idx="9">
                  <c:v>3.3166666666666664</c:v>
                </c:pt>
                <c:pt idx="10">
                  <c:v>3.6483333333333334</c:v>
                </c:pt>
                <c:pt idx="11">
                  <c:v>3.98</c:v>
                </c:pt>
                <c:pt idx="12">
                  <c:v>4.3116666666666665</c:v>
                </c:pt>
                <c:pt idx="13">
                  <c:v>4.6433333333333335</c:v>
                </c:pt>
                <c:pt idx="14">
                  <c:v>4.9749999999999996</c:v>
                </c:pt>
                <c:pt idx="15">
                  <c:v>5.3066666666666666</c:v>
                </c:pt>
                <c:pt idx="16">
                  <c:v>5.6383333333333336</c:v>
                </c:pt>
                <c:pt idx="17">
                  <c:v>5.97</c:v>
                </c:pt>
                <c:pt idx="18">
                  <c:v>6.3016666666666667</c:v>
                </c:pt>
                <c:pt idx="19">
                  <c:v>6.6333333333333329</c:v>
                </c:pt>
                <c:pt idx="20">
                  <c:v>6.9649999999999999</c:v>
                </c:pt>
                <c:pt idx="21">
                  <c:v>7.2966666666666669</c:v>
                </c:pt>
                <c:pt idx="22">
                  <c:v>7.628333333333333</c:v>
                </c:pt>
                <c:pt idx="23">
                  <c:v>7.96</c:v>
                </c:pt>
                <c:pt idx="24">
                  <c:v>8.2916666666666661</c:v>
                </c:pt>
                <c:pt idx="25">
                  <c:v>8.6233333333333331</c:v>
                </c:pt>
                <c:pt idx="26">
                  <c:v>8.9550000000000001</c:v>
                </c:pt>
                <c:pt idx="27">
                  <c:v>9.2866666666666671</c:v>
                </c:pt>
                <c:pt idx="28">
                  <c:v>9.6183333333333341</c:v>
                </c:pt>
                <c:pt idx="29">
                  <c:v>9.9499999999999993</c:v>
                </c:pt>
                <c:pt idx="30">
                  <c:v>10.281666666666666</c:v>
                </c:pt>
                <c:pt idx="31">
                  <c:v>10.613333333333333</c:v>
                </c:pt>
                <c:pt idx="32">
                  <c:v>10.945</c:v>
                </c:pt>
                <c:pt idx="33">
                  <c:v>11.276666666666667</c:v>
                </c:pt>
                <c:pt idx="34">
                  <c:v>11.608333333333333</c:v>
                </c:pt>
                <c:pt idx="35">
                  <c:v>11.94</c:v>
                </c:pt>
                <c:pt idx="36">
                  <c:v>12.271666666666667</c:v>
                </c:pt>
                <c:pt idx="37">
                  <c:v>12.603333333333333</c:v>
                </c:pt>
                <c:pt idx="38">
                  <c:v>12.935</c:v>
                </c:pt>
                <c:pt idx="39">
                  <c:v>13.266666666666666</c:v>
                </c:pt>
                <c:pt idx="40">
                  <c:v>13.598333333333333</c:v>
                </c:pt>
                <c:pt idx="41">
                  <c:v>13.93</c:v>
                </c:pt>
                <c:pt idx="42">
                  <c:v>14.261666666666667</c:v>
                </c:pt>
                <c:pt idx="43">
                  <c:v>14.593333333333334</c:v>
                </c:pt>
                <c:pt idx="44">
                  <c:v>14.925000000000001</c:v>
                </c:pt>
                <c:pt idx="45">
                  <c:v>15.256666666666666</c:v>
                </c:pt>
                <c:pt idx="46">
                  <c:v>15.588333333333333</c:v>
                </c:pt>
                <c:pt idx="47">
                  <c:v>15.92</c:v>
                </c:pt>
                <c:pt idx="48">
                  <c:v>16.251666666666665</c:v>
                </c:pt>
                <c:pt idx="49">
                  <c:v>16.583333333333332</c:v>
                </c:pt>
                <c:pt idx="50">
                  <c:v>16.914999999999999</c:v>
                </c:pt>
                <c:pt idx="51">
                  <c:v>17.246666666666666</c:v>
                </c:pt>
                <c:pt idx="52">
                  <c:v>17.578333333333333</c:v>
                </c:pt>
                <c:pt idx="53">
                  <c:v>17.91</c:v>
                </c:pt>
                <c:pt idx="54">
                  <c:v>18.241666666666667</c:v>
                </c:pt>
                <c:pt idx="55">
                  <c:v>18.573333333333334</c:v>
                </c:pt>
                <c:pt idx="56">
                  <c:v>18.905000000000001</c:v>
                </c:pt>
                <c:pt idx="57">
                  <c:v>19.236666666666668</c:v>
                </c:pt>
                <c:pt idx="58">
                  <c:v>19.568333333333332</c:v>
                </c:pt>
                <c:pt idx="59">
                  <c:v>19.899999999999999</c:v>
                </c:pt>
                <c:pt idx="60">
                  <c:v>20.231666666666666</c:v>
                </c:pt>
                <c:pt idx="61">
                  <c:v>20.563333333333333</c:v>
                </c:pt>
                <c:pt idx="62">
                  <c:v>20.895</c:v>
                </c:pt>
                <c:pt idx="63">
                  <c:v>21.226666666666667</c:v>
                </c:pt>
                <c:pt idx="64">
                  <c:v>21.558333333333334</c:v>
                </c:pt>
                <c:pt idx="65">
                  <c:v>21.89</c:v>
                </c:pt>
                <c:pt idx="66">
                  <c:v>22.221666666666668</c:v>
                </c:pt>
                <c:pt idx="67">
                  <c:v>22.553333333333335</c:v>
                </c:pt>
                <c:pt idx="68">
                  <c:v>22.885000000000002</c:v>
                </c:pt>
                <c:pt idx="69">
                  <c:v>23.216666666666665</c:v>
                </c:pt>
                <c:pt idx="70">
                  <c:v>23.548333333333332</c:v>
                </c:pt>
                <c:pt idx="71">
                  <c:v>23.88</c:v>
                </c:pt>
                <c:pt idx="72">
                  <c:v>24.211666666666666</c:v>
                </c:pt>
                <c:pt idx="73">
                  <c:v>24.543333333333333</c:v>
                </c:pt>
                <c:pt idx="74">
                  <c:v>24.875</c:v>
                </c:pt>
                <c:pt idx="75">
                  <c:v>25.206666666666667</c:v>
                </c:pt>
                <c:pt idx="76">
                  <c:v>25.538333333333334</c:v>
                </c:pt>
                <c:pt idx="77">
                  <c:v>25.87</c:v>
                </c:pt>
                <c:pt idx="78">
                  <c:v>26.201666666666668</c:v>
                </c:pt>
                <c:pt idx="79">
                  <c:v>26.533333333333331</c:v>
                </c:pt>
                <c:pt idx="80">
                  <c:v>26.864999999999998</c:v>
                </c:pt>
                <c:pt idx="81">
                  <c:v>27.196666666666665</c:v>
                </c:pt>
                <c:pt idx="82">
                  <c:v>27.528333333333332</c:v>
                </c:pt>
                <c:pt idx="83">
                  <c:v>27.86</c:v>
                </c:pt>
                <c:pt idx="84">
                  <c:v>28.191666666666666</c:v>
                </c:pt>
                <c:pt idx="85">
                  <c:v>28.523333333333333</c:v>
                </c:pt>
                <c:pt idx="86">
                  <c:v>28.855</c:v>
                </c:pt>
                <c:pt idx="87">
                  <c:v>29.186666666666667</c:v>
                </c:pt>
                <c:pt idx="88">
                  <c:v>29.518333333333334</c:v>
                </c:pt>
                <c:pt idx="89">
                  <c:v>29.85</c:v>
                </c:pt>
                <c:pt idx="90">
                  <c:v>30.181666666666665</c:v>
                </c:pt>
                <c:pt idx="91">
                  <c:v>30.513333333333332</c:v>
                </c:pt>
                <c:pt idx="92">
                  <c:v>30.844999999999999</c:v>
                </c:pt>
                <c:pt idx="93">
                  <c:v>31.176666666666666</c:v>
                </c:pt>
                <c:pt idx="94">
                  <c:v>31.508333333333333</c:v>
                </c:pt>
                <c:pt idx="95">
                  <c:v>31.84</c:v>
                </c:pt>
                <c:pt idx="96">
                  <c:v>32.171666666666667</c:v>
                </c:pt>
                <c:pt idx="97">
                  <c:v>32.50333333333333</c:v>
                </c:pt>
                <c:pt idx="98">
                  <c:v>32.835000000000001</c:v>
                </c:pt>
                <c:pt idx="99">
                  <c:v>33.166666666666664</c:v>
                </c:pt>
                <c:pt idx="100">
                  <c:v>33.498333333333335</c:v>
                </c:pt>
                <c:pt idx="101">
                  <c:v>33.83</c:v>
                </c:pt>
                <c:pt idx="102">
                  <c:v>34.161666666666669</c:v>
                </c:pt>
                <c:pt idx="103">
                  <c:v>34.493333333333332</c:v>
                </c:pt>
                <c:pt idx="104">
                  <c:v>34.825000000000003</c:v>
                </c:pt>
                <c:pt idx="105">
                  <c:v>35.156666666666666</c:v>
                </c:pt>
                <c:pt idx="106">
                  <c:v>35.48833333333333</c:v>
                </c:pt>
                <c:pt idx="107">
                  <c:v>35.82</c:v>
                </c:pt>
                <c:pt idx="108">
                  <c:v>36.151666666666664</c:v>
                </c:pt>
                <c:pt idx="109">
                  <c:v>36.483333333333334</c:v>
                </c:pt>
                <c:pt idx="110">
                  <c:v>36.814999999999998</c:v>
                </c:pt>
                <c:pt idx="111">
                  <c:v>37.146666666666668</c:v>
                </c:pt>
                <c:pt idx="112">
                  <c:v>37.478333333333332</c:v>
                </c:pt>
                <c:pt idx="113">
                  <c:v>37.81</c:v>
                </c:pt>
                <c:pt idx="114">
                  <c:v>38.141666666666666</c:v>
                </c:pt>
                <c:pt idx="115">
                  <c:v>38.473333333333336</c:v>
                </c:pt>
                <c:pt idx="116">
                  <c:v>38.805</c:v>
                </c:pt>
                <c:pt idx="117">
                  <c:v>39.136666666666663</c:v>
                </c:pt>
                <c:pt idx="118">
                  <c:v>39.468333333333334</c:v>
                </c:pt>
                <c:pt idx="119">
                  <c:v>39.799999999999997</c:v>
                </c:pt>
                <c:pt idx="120">
                  <c:v>40.131666666666668</c:v>
                </c:pt>
                <c:pt idx="121">
                  <c:v>40.463333333333331</c:v>
                </c:pt>
                <c:pt idx="122">
                  <c:v>40.795000000000002</c:v>
                </c:pt>
                <c:pt idx="123">
                  <c:v>41.126666666666665</c:v>
                </c:pt>
                <c:pt idx="124">
                  <c:v>41.458333333333336</c:v>
                </c:pt>
                <c:pt idx="125">
                  <c:v>41.79</c:v>
                </c:pt>
                <c:pt idx="126">
                  <c:v>42.12166666666667</c:v>
                </c:pt>
                <c:pt idx="127">
                  <c:v>42.453333333333333</c:v>
                </c:pt>
                <c:pt idx="128">
                  <c:v>42.784999999999997</c:v>
                </c:pt>
                <c:pt idx="129">
                  <c:v>43.116666666666667</c:v>
                </c:pt>
                <c:pt idx="130">
                  <c:v>43.448333333333331</c:v>
                </c:pt>
                <c:pt idx="131">
                  <c:v>43.78</c:v>
                </c:pt>
                <c:pt idx="132">
                  <c:v>44.111666666666665</c:v>
                </c:pt>
                <c:pt idx="133">
                  <c:v>44.443333333333335</c:v>
                </c:pt>
                <c:pt idx="134">
                  <c:v>44.774999999999999</c:v>
                </c:pt>
                <c:pt idx="135">
                  <c:v>45.106666666666669</c:v>
                </c:pt>
                <c:pt idx="136">
                  <c:v>45.438333333333333</c:v>
                </c:pt>
                <c:pt idx="137">
                  <c:v>45.77</c:v>
                </c:pt>
                <c:pt idx="138">
                  <c:v>46.101666666666667</c:v>
                </c:pt>
                <c:pt idx="139">
                  <c:v>46.43333333333333</c:v>
                </c:pt>
                <c:pt idx="140">
                  <c:v>46.765000000000001</c:v>
                </c:pt>
                <c:pt idx="141">
                  <c:v>47.096666666666664</c:v>
                </c:pt>
                <c:pt idx="142">
                  <c:v>47.428333333333335</c:v>
                </c:pt>
                <c:pt idx="143">
                  <c:v>47.76</c:v>
                </c:pt>
                <c:pt idx="144">
                  <c:v>48.091666666666669</c:v>
                </c:pt>
                <c:pt idx="145">
                  <c:v>48.423333333333332</c:v>
                </c:pt>
                <c:pt idx="146">
                  <c:v>48.755000000000003</c:v>
                </c:pt>
                <c:pt idx="147">
                  <c:v>49.086666666666666</c:v>
                </c:pt>
                <c:pt idx="148">
                  <c:v>49.418333333333337</c:v>
                </c:pt>
                <c:pt idx="149">
                  <c:v>49.75</c:v>
                </c:pt>
                <c:pt idx="150">
                  <c:v>50.081666666666663</c:v>
                </c:pt>
                <c:pt idx="151">
                  <c:v>50.413333333333334</c:v>
                </c:pt>
                <c:pt idx="152">
                  <c:v>50.744999999999997</c:v>
                </c:pt>
                <c:pt idx="153">
                  <c:v>51.076666666666668</c:v>
                </c:pt>
                <c:pt idx="154">
                  <c:v>51.408333333333331</c:v>
                </c:pt>
                <c:pt idx="155">
                  <c:v>51.74</c:v>
                </c:pt>
                <c:pt idx="156">
                  <c:v>52.071666666666665</c:v>
                </c:pt>
                <c:pt idx="157">
                  <c:v>52.403333333333336</c:v>
                </c:pt>
                <c:pt idx="158">
                  <c:v>52.734999999999999</c:v>
                </c:pt>
                <c:pt idx="159">
                  <c:v>53.066666666666663</c:v>
                </c:pt>
                <c:pt idx="160">
                  <c:v>53.398333333333333</c:v>
                </c:pt>
                <c:pt idx="161">
                  <c:v>53.73</c:v>
                </c:pt>
                <c:pt idx="162">
                  <c:v>54.061666666666667</c:v>
                </c:pt>
                <c:pt idx="163">
                  <c:v>54.393333333333331</c:v>
                </c:pt>
                <c:pt idx="164">
                  <c:v>54.725000000000001</c:v>
                </c:pt>
                <c:pt idx="165">
                  <c:v>55.056666666666665</c:v>
                </c:pt>
                <c:pt idx="166">
                  <c:v>55.388333333333335</c:v>
                </c:pt>
                <c:pt idx="167">
                  <c:v>55.72</c:v>
                </c:pt>
                <c:pt idx="168">
                  <c:v>56.051666666666669</c:v>
                </c:pt>
                <c:pt idx="169">
                  <c:v>56.383333333333333</c:v>
                </c:pt>
                <c:pt idx="170">
                  <c:v>56.714999999999996</c:v>
                </c:pt>
                <c:pt idx="171">
                  <c:v>57.046666666666667</c:v>
                </c:pt>
                <c:pt idx="172">
                  <c:v>57.37833333333333</c:v>
                </c:pt>
                <c:pt idx="173">
                  <c:v>57.71</c:v>
                </c:pt>
                <c:pt idx="174">
                  <c:v>58.041666666666664</c:v>
                </c:pt>
                <c:pt idx="175">
                  <c:v>58.373333333333335</c:v>
                </c:pt>
                <c:pt idx="176">
                  <c:v>58.704999999999998</c:v>
                </c:pt>
                <c:pt idx="177">
                  <c:v>59.036666666666669</c:v>
                </c:pt>
                <c:pt idx="178">
                  <c:v>59.368333333333332</c:v>
                </c:pt>
                <c:pt idx="179">
                  <c:v>59.7</c:v>
                </c:pt>
                <c:pt idx="180">
                  <c:v>60.031666666666666</c:v>
                </c:pt>
                <c:pt idx="181">
                  <c:v>60.36333333333333</c:v>
                </c:pt>
                <c:pt idx="182">
                  <c:v>60.695</c:v>
                </c:pt>
                <c:pt idx="183">
                  <c:v>61.026666666666664</c:v>
                </c:pt>
                <c:pt idx="184">
                  <c:v>61.358333333333334</c:v>
                </c:pt>
                <c:pt idx="185">
                  <c:v>61.69</c:v>
                </c:pt>
                <c:pt idx="186">
                  <c:v>62.021666666666668</c:v>
                </c:pt>
                <c:pt idx="187">
                  <c:v>62.353333333333332</c:v>
                </c:pt>
                <c:pt idx="188">
                  <c:v>62.685000000000002</c:v>
                </c:pt>
                <c:pt idx="189">
                  <c:v>63.016666666666666</c:v>
                </c:pt>
                <c:pt idx="190">
                  <c:v>63.348333333333336</c:v>
                </c:pt>
                <c:pt idx="191">
                  <c:v>63.68</c:v>
                </c:pt>
                <c:pt idx="192">
                  <c:v>64.01166666666667</c:v>
                </c:pt>
                <c:pt idx="193">
                  <c:v>64.343333333333334</c:v>
                </c:pt>
                <c:pt idx="194">
                  <c:v>64.674999999999997</c:v>
                </c:pt>
                <c:pt idx="195">
                  <c:v>65.006666666666661</c:v>
                </c:pt>
                <c:pt idx="196">
                  <c:v>65.338333333333338</c:v>
                </c:pt>
                <c:pt idx="197">
                  <c:v>65.67</c:v>
                </c:pt>
                <c:pt idx="198">
                  <c:v>66.001666666666665</c:v>
                </c:pt>
                <c:pt idx="199">
                  <c:v>66.333333333333329</c:v>
                </c:pt>
                <c:pt idx="200">
                  <c:v>66.665000000000006</c:v>
                </c:pt>
                <c:pt idx="201">
                  <c:v>66.99666666666667</c:v>
                </c:pt>
                <c:pt idx="202">
                  <c:v>67.328333333333333</c:v>
                </c:pt>
                <c:pt idx="203">
                  <c:v>67.66</c:v>
                </c:pt>
                <c:pt idx="204">
                  <c:v>67.99166666666666</c:v>
                </c:pt>
                <c:pt idx="205">
                  <c:v>68.323333333333338</c:v>
                </c:pt>
                <c:pt idx="206">
                  <c:v>68.655000000000001</c:v>
                </c:pt>
                <c:pt idx="207">
                  <c:v>68.986666666666665</c:v>
                </c:pt>
                <c:pt idx="208">
                  <c:v>69.318333333333328</c:v>
                </c:pt>
                <c:pt idx="209">
                  <c:v>69.650000000000006</c:v>
                </c:pt>
                <c:pt idx="210">
                  <c:v>69.981666666666669</c:v>
                </c:pt>
                <c:pt idx="211">
                  <c:v>70.313333333333333</c:v>
                </c:pt>
                <c:pt idx="212">
                  <c:v>70.644999999999996</c:v>
                </c:pt>
                <c:pt idx="213">
                  <c:v>70.976666666666659</c:v>
                </c:pt>
                <c:pt idx="214">
                  <c:v>71.308333333333337</c:v>
                </c:pt>
                <c:pt idx="215">
                  <c:v>71.64</c:v>
                </c:pt>
                <c:pt idx="216">
                  <c:v>71.971666666666664</c:v>
                </c:pt>
                <c:pt idx="217">
                  <c:v>72.303333333333327</c:v>
                </c:pt>
                <c:pt idx="218">
                  <c:v>72.635000000000005</c:v>
                </c:pt>
                <c:pt idx="219">
                  <c:v>72.966666666666669</c:v>
                </c:pt>
                <c:pt idx="220">
                  <c:v>73.298333333333332</c:v>
                </c:pt>
                <c:pt idx="221">
                  <c:v>73.63</c:v>
                </c:pt>
                <c:pt idx="222">
                  <c:v>73.961666666666673</c:v>
                </c:pt>
                <c:pt idx="223">
                  <c:v>74.293333333333337</c:v>
                </c:pt>
                <c:pt idx="224">
                  <c:v>74.625</c:v>
                </c:pt>
                <c:pt idx="225">
                  <c:v>74.956666666666663</c:v>
                </c:pt>
                <c:pt idx="226">
                  <c:v>75.288333333333327</c:v>
                </c:pt>
                <c:pt idx="227">
                  <c:v>75.62</c:v>
                </c:pt>
                <c:pt idx="228">
                  <c:v>75.951666666666668</c:v>
                </c:pt>
                <c:pt idx="229">
                  <c:v>76.283333333333331</c:v>
                </c:pt>
                <c:pt idx="230">
                  <c:v>76.614999999999995</c:v>
                </c:pt>
                <c:pt idx="231">
                  <c:v>76.946666666666673</c:v>
                </c:pt>
                <c:pt idx="232">
                  <c:v>77.278333333333336</c:v>
                </c:pt>
                <c:pt idx="233">
                  <c:v>77.61</c:v>
                </c:pt>
                <c:pt idx="234">
                  <c:v>77.941666666666663</c:v>
                </c:pt>
                <c:pt idx="235">
                  <c:v>78.273333333333326</c:v>
                </c:pt>
                <c:pt idx="236">
                  <c:v>78.605000000000004</c:v>
                </c:pt>
                <c:pt idx="237">
                  <c:v>78.936666666666667</c:v>
                </c:pt>
                <c:pt idx="238">
                  <c:v>79.268333333333331</c:v>
                </c:pt>
                <c:pt idx="239">
                  <c:v>79.599999999999994</c:v>
                </c:pt>
                <c:pt idx="240">
                  <c:v>79.931666666666672</c:v>
                </c:pt>
                <c:pt idx="241">
                  <c:v>80.263333333333335</c:v>
                </c:pt>
                <c:pt idx="242">
                  <c:v>80.594999999999999</c:v>
                </c:pt>
                <c:pt idx="243">
                  <c:v>80.926666666666662</c:v>
                </c:pt>
                <c:pt idx="244">
                  <c:v>81.25833333333334</c:v>
                </c:pt>
                <c:pt idx="245">
                  <c:v>81.59</c:v>
                </c:pt>
                <c:pt idx="246">
                  <c:v>81.921666666666667</c:v>
                </c:pt>
                <c:pt idx="247">
                  <c:v>82.25333333333333</c:v>
                </c:pt>
                <c:pt idx="248">
                  <c:v>82.584999999999994</c:v>
                </c:pt>
                <c:pt idx="249">
                  <c:v>82.916666666666671</c:v>
                </c:pt>
                <c:pt idx="250">
                  <c:v>83.248333333333335</c:v>
                </c:pt>
                <c:pt idx="251">
                  <c:v>83.58</c:v>
                </c:pt>
                <c:pt idx="252">
                  <c:v>83.911666666666662</c:v>
                </c:pt>
                <c:pt idx="253">
                  <c:v>84.243333333333339</c:v>
                </c:pt>
                <c:pt idx="254">
                  <c:v>84.575000000000003</c:v>
                </c:pt>
                <c:pt idx="255">
                  <c:v>84.906666666666666</c:v>
                </c:pt>
                <c:pt idx="256">
                  <c:v>85.23833333333333</c:v>
                </c:pt>
                <c:pt idx="257">
                  <c:v>85.57</c:v>
                </c:pt>
                <c:pt idx="258">
                  <c:v>85.901666666666671</c:v>
                </c:pt>
                <c:pt idx="259">
                  <c:v>86.233333333333334</c:v>
                </c:pt>
                <c:pt idx="260">
                  <c:v>86.564999999999998</c:v>
                </c:pt>
                <c:pt idx="261">
                  <c:v>86.896666666666661</c:v>
                </c:pt>
                <c:pt idx="262">
                  <c:v>87.228333333333339</c:v>
                </c:pt>
                <c:pt idx="263">
                  <c:v>87.56</c:v>
                </c:pt>
                <c:pt idx="264">
                  <c:v>87.891666666666666</c:v>
                </c:pt>
                <c:pt idx="265">
                  <c:v>88.223333333333329</c:v>
                </c:pt>
                <c:pt idx="266">
                  <c:v>88.554999999999993</c:v>
                </c:pt>
                <c:pt idx="267">
                  <c:v>88.88666666666667</c:v>
                </c:pt>
                <c:pt idx="268">
                  <c:v>89.218333333333334</c:v>
                </c:pt>
                <c:pt idx="269">
                  <c:v>89.55</c:v>
                </c:pt>
                <c:pt idx="270">
                  <c:v>89.881666666666661</c:v>
                </c:pt>
                <c:pt idx="271">
                  <c:v>90.213333333333338</c:v>
                </c:pt>
                <c:pt idx="272">
                  <c:v>90.545000000000002</c:v>
                </c:pt>
                <c:pt idx="273">
                  <c:v>90.876666666666665</c:v>
                </c:pt>
                <c:pt idx="274">
                  <c:v>91.208333333333329</c:v>
                </c:pt>
                <c:pt idx="275">
                  <c:v>91.54</c:v>
                </c:pt>
                <c:pt idx="276">
                  <c:v>91.87166666666667</c:v>
                </c:pt>
                <c:pt idx="277">
                  <c:v>92.203333333333333</c:v>
                </c:pt>
                <c:pt idx="278">
                  <c:v>92.534999999999997</c:v>
                </c:pt>
                <c:pt idx="279">
                  <c:v>92.86666666666666</c:v>
                </c:pt>
                <c:pt idx="280">
                  <c:v>93.198333333333338</c:v>
                </c:pt>
                <c:pt idx="281">
                  <c:v>93.53</c:v>
                </c:pt>
                <c:pt idx="282">
                  <c:v>93.861666666666665</c:v>
                </c:pt>
                <c:pt idx="283">
                  <c:v>94.193333333333328</c:v>
                </c:pt>
                <c:pt idx="284">
                  <c:v>94.525000000000006</c:v>
                </c:pt>
                <c:pt idx="285">
                  <c:v>94.856666666666669</c:v>
                </c:pt>
                <c:pt idx="286">
                  <c:v>95.188333333333333</c:v>
                </c:pt>
                <c:pt idx="287">
                  <c:v>95.52</c:v>
                </c:pt>
                <c:pt idx="288">
                  <c:v>95.851666666666659</c:v>
                </c:pt>
                <c:pt idx="289">
                  <c:v>96.183333333333337</c:v>
                </c:pt>
                <c:pt idx="290">
                  <c:v>96.515000000000001</c:v>
                </c:pt>
                <c:pt idx="291">
                  <c:v>96.846666666666664</c:v>
                </c:pt>
                <c:pt idx="292">
                  <c:v>97.178333333333327</c:v>
                </c:pt>
                <c:pt idx="293">
                  <c:v>97.51</c:v>
                </c:pt>
                <c:pt idx="294">
                  <c:v>97.841666666666669</c:v>
                </c:pt>
                <c:pt idx="295">
                  <c:v>98.173333333333332</c:v>
                </c:pt>
                <c:pt idx="296">
                  <c:v>98.504999999999995</c:v>
                </c:pt>
                <c:pt idx="297">
                  <c:v>98.836666666666673</c:v>
                </c:pt>
                <c:pt idx="298">
                  <c:v>99.168333333333337</c:v>
                </c:pt>
                <c:pt idx="299">
                  <c:v>99.5</c:v>
                </c:pt>
                <c:pt idx="300">
                  <c:v>99.831666666666663</c:v>
                </c:pt>
                <c:pt idx="301">
                  <c:v>100.16333333333333</c:v>
                </c:pt>
                <c:pt idx="302">
                  <c:v>100.495</c:v>
                </c:pt>
                <c:pt idx="303">
                  <c:v>100.82666666666667</c:v>
                </c:pt>
                <c:pt idx="304">
                  <c:v>101.15833333333333</c:v>
                </c:pt>
                <c:pt idx="305">
                  <c:v>101.49</c:v>
                </c:pt>
                <c:pt idx="306">
                  <c:v>101.82166666666667</c:v>
                </c:pt>
                <c:pt idx="307">
                  <c:v>102.15333333333334</c:v>
                </c:pt>
                <c:pt idx="308">
                  <c:v>102.485</c:v>
                </c:pt>
                <c:pt idx="309">
                  <c:v>102.81666666666666</c:v>
                </c:pt>
                <c:pt idx="310">
                  <c:v>103.14833333333333</c:v>
                </c:pt>
                <c:pt idx="311">
                  <c:v>103.48</c:v>
                </c:pt>
                <c:pt idx="312">
                  <c:v>103.81166666666667</c:v>
                </c:pt>
                <c:pt idx="313">
                  <c:v>104.14333333333333</c:v>
                </c:pt>
                <c:pt idx="314">
                  <c:v>104.47499999999999</c:v>
                </c:pt>
                <c:pt idx="315">
                  <c:v>104.80666666666667</c:v>
                </c:pt>
                <c:pt idx="316">
                  <c:v>105.13833333333334</c:v>
                </c:pt>
                <c:pt idx="317">
                  <c:v>105.47</c:v>
                </c:pt>
                <c:pt idx="318">
                  <c:v>105.80166666666666</c:v>
                </c:pt>
                <c:pt idx="319">
                  <c:v>106.13333333333333</c:v>
                </c:pt>
                <c:pt idx="320">
                  <c:v>106.465</c:v>
                </c:pt>
                <c:pt idx="321">
                  <c:v>106.79666666666667</c:v>
                </c:pt>
                <c:pt idx="322">
                  <c:v>107.12833333333333</c:v>
                </c:pt>
                <c:pt idx="323">
                  <c:v>107.46</c:v>
                </c:pt>
                <c:pt idx="324">
                  <c:v>107.79166666666667</c:v>
                </c:pt>
                <c:pt idx="325">
                  <c:v>108.12333333333333</c:v>
                </c:pt>
                <c:pt idx="326">
                  <c:v>108.455</c:v>
                </c:pt>
                <c:pt idx="327">
                  <c:v>108.78666666666666</c:v>
                </c:pt>
                <c:pt idx="328">
                  <c:v>109.11833333333334</c:v>
                </c:pt>
                <c:pt idx="329">
                  <c:v>109.45</c:v>
                </c:pt>
                <c:pt idx="330">
                  <c:v>109.78166666666667</c:v>
                </c:pt>
                <c:pt idx="331">
                  <c:v>110.11333333333333</c:v>
                </c:pt>
                <c:pt idx="332">
                  <c:v>110.44499999999999</c:v>
                </c:pt>
                <c:pt idx="333">
                  <c:v>110.77666666666667</c:v>
                </c:pt>
                <c:pt idx="334">
                  <c:v>111.10833333333333</c:v>
                </c:pt>
                <c:pt idx="335">
                  <c:v>111.44</c:v>
                </c:pt>
                <c:pt idx="336">
                  <c:v>111.77166666666666</c:v>
                </c:pt>
                <c:pt idx="337">
                  <c:v>112.10333333333334</c:v>
                </c:pt>
                <c:pt idx="338">
                  <c:v>112.435</c:v>
                </c:pt>
                <c:pt idx="339">
                  <c:v>112.76666666666667</c:v>
                </c:pt>
                <c:pt idx="340">
                  <c:v>113.09833333333333</c:v>
                </c:pt>
                <c:pt idx="341">
                  <c:v>113.42999999999999</c:v>
                </c:pt>
                <c:pt idx="342">
                  <c:v>113.76166666666667</c:v>
                </c:pt>
                <c:pt idx="343">
                  <c:v>114.09333333333333</c:v>
                </c:pt>
                <c:pt idx="344">
                  <c:v>114.425</c:v>
                </c:pt>
                <c:pt idx="345">
                  <c:v>114.75666666666666</c:v>
                </c:pt>
                <c:pt idx="346">
                  <c:v>115.08833333333334</c:v>
                </c:pt>
                <c:pt idx="347">
                  <c:v>115.42</c:v>
                </c:pt>
                <c:pt idx="348">
                  <c:v>115.75166666666667</c:v>
                </c:pt>
                <c:pt idx="349">
                  <c:v>116.08333333333333</c:v>
                </c:pt>
                <c:pt idx="350">
                  <c:v>116.41500000000001</c:v>
                </c:pt>
                <c:pt idx="351">
                  <c:v>116.74666666666667</c:v>
                </c:pt>
                <c:pt idx="352">
                  <c:v>117.07833333333333</c:v>
                </c:pt>
                <c:pt idx="353">
                  <c:v>117.41</c:v>
                </c:pt>
                <c:pt idx="354">
                  <c:v>117.74166666666666</c:v>
                </c:pt>
                <c:pt idx="355">
                  <c:v>118.07333333333334</c:v>
                </c:pt>
                <c:pt idx="356">
                  <c:v>118.405</c:v>
                </c:pt>
                <c:pt idx="357">
                  <c:v>118.73666666666666</c:v>
                </c:pt>
                <c:pt idx="358">
                  <c:v>119.06833333333333</c:v>
                </c:pt>
                <c:pt idx="359">
                  <c:v>119.4</c:v>
                </c:pt>
                <c:pt idx="360">
                  <c:v>119.73166666666667</c:v>
                </c:pt>
                <c:pt idx="361">
                  <c:v>120.06333333333333</c:v>
                </c:pt>
                <c:pt idx="362">
                  <c:v>120.395</c:v>
                </c:pt>
                <c:pt idx="363">
                  <c:v>120.72666666666666</c:v>
                </c:pt>
                <c:pt idx="364">
                  <c:v>121.05833333333334</c:v>
                </c:pt>
                <c:pt idx="365">
                  <c:v>121.39</c:v>
                </c:pt>
                <c:pt idx="366">
                  <c:v>121.72166666666666</c:v>
                </c:pt>
                <c:pt idx="367">
                  <c:v>122.05333333333333</c:v>
                </c:pt>
                <c:pt idx="368">
                  <c:v>122.38500000000001</c:v>
                </c:pt>
                <c:pt idx="369">
                  <c:v>122.71666666666667</c:v>
                </c:pt>
                <c:pt idx="370">
                  <c:v>123.04833333333333</c:v>
                </c:pt>
                <c:pt idx="371">
                  <c:v>123.38</c:v>
                </c:pt>
                <c:pt idx="372">
                  <c:v>123.71166666666667</c:v>
                </c:pt>
                <c:pt idx="373">
                  <c:v>124.04333333333334</c:v>
                </c:pt>
                <c:pt idx="374">
                  <c:v>124.375</c:v>
                </c:pt>
                <c:pt idx="375">
                  <c:v>124.70666666666666</c:v>
                </c:pt>
                <c:pt idx="376">
                  <c:v>125.03833333333333</c:v>
                </c:pt>
                <c:pt idx="377">
                  <c:v>125.37</c:v>
                </c:pt>
                <c:pt idx="378">
                  <c:v>125.70166666666667</c:v>
                </c:pt>
                <c:pt idx="379">
                  <c:v>126.03333333333333</c:v>
                </c:pt>
                <c:pt idx="380">
                  <c:v>126.36499999999999</c:v>
                </c:pt>
                <c:pt idx="381">
                  <c:v>126.69666666666667</c:v>
                </c:pt>
                <c:pt idx="382">
                  <c:v>127.02833333333334</c:v>
                </c:pt>
                <c:pt idx="383">
                  <c:v>127.36</c:v>
                </c:pt>
                <c:pt idx="384">
                  <c:v>127.69166666666666</c:v>
                </c:pt>
                <c:pt idx="385">
                  <c:v>128.02333333333334</c:v>
                </c:pt>
                <c:pt idx="386">
                  <c:v>128.35499999999999</c:v>
                </c:pt>
                <c:pt idx="387">
                  <c:v>128.68666666666667</c:v>
                </c:pt>
                <c:pt idx="388">
                  <c:v>129.01833333333335</c:v>
                </c:pt>
                <c:pt idx="389">
                  <c:v>129.35</c:v>
                </c:pt>
                <c:pt idx="390">
                  <c:v>129.68166666666667</c:v>
                </c:pt>
                <c:pt idx="391">
                  <c:v>130.01333333333332</c:v>
                </c:pt>
                <c:pt idx="392">
                  <c:v>130.345</c:v>
                </c:pt>
                <c:pt idx="393">
                  <c:v>130.67666666666668</c:v>
                </c:pt>
                <c:pt idx="394">
                  <c:v>131.00833333333333</c:v>
                </c:pt>
                <c:pt idx="395">
                  <c:v>131.34</c:v>
                </c:pt>
                <c:pt idx="396">
                  <c:v>131.67166666666665</c:v>
                </c:pt>
                <c:pt idx="397">
                  <c:v>132.00333333333333</c:v>
                </c:pt>
                <c:pt idx="398">
                  <c:v>132.33500000000001</c:v>
                </c:pt>
                <c:pt idx="399">
                  <c:v>132.66666666666666</c:v>
                </c:pt>
                <c:pt idx="400">
                  <c:v>132.99833333333333</c:v>
                </c:pt>
                <c:pt idx="401">
                  <c:v>133.33000000000001</c:v>
                </c:pt>
                <c:pt idx="402">
                  <c:v>133.66166666666666</c:v>
                </c:pt>
                <c:pt idx="403">
                  <c:v>133.99333333333334</c:v>
                </c:pt>
                <c:pt idx="404">
                  <c:v>134.32499999999999</c:v>
                </c:pt>
                <c:pt idx="405">
                  <c:v>134.65666666666667</c:v>
                </c:pt>
                <c:pt idx="406">
                  <c:v>134.98833333333334</c:v>
                </c:pt>
                <c:pt idx="407">
                  <c:v>135.32</c:v>
                </c:pt>
                <c:pt idx="408">
                  <c:v>135.65166666666667</c:v>
                </c:pt>
                <c:pt idx="409">
                  <c:v>135.98333333333332</c:v>
                </c:pt>
                <c:pt idx="410">
                  <c:v>136.315</c:v>
                </c:pt>
                <c:pt idx="411">
                  <c:v>136.64666666666668</c:v>
                </c:pt>
                <c:pt idx="412">
                  <c:v>136.97833333333332</c:v>
                </c:pt>
                <c:pt idx="413">
                  <c:v>137.31</c:v>
                </c:pt>
                <c:pt idx="414">
                  <c:v>137.64166666666668</c:v>
                </c:pt>
                <c:pt idx="415">
                  <c:v>137.97333333333333</c:v>
                </c:pt>
                <c:pt idx="416">
                  <c:v>138.30500000000001</c:v>
                </c:pt>
                <c:pt idx="417">
                  <c:v>138.63666666666666</c:v>
                </c:pt>
                <c:pt idx="418">
                  <c:v>138.96833333333333</c:v>
                </c:pt>
                <c:pt idx="419">
                  <c:v>139.30000000000001</c:v>
                </c:pt>
                <c:pt idx="420">
                  <c:v>139.63166666666666</c:v>
                </c:pt>
                <c:pt idx="421">
                  <c:v>139.96333333333334</c:v>
                </c:pt>
                <c:pt idx="422">
                  <c:v>140.29499999999999</c:v>
                </c:pt>
                <c:pt idx="423">
                  <c:v>140.62666666666667</c:v>
                </c:pt>
                <c:pt idx="424">
                  <c:v>140.95833333333334</c:v>
                </c:pt>
                <c:pt idx="425">
                  <c:v>141.29</c:v>
                </c:pt>
                <c:pt idx="426">
                  <c:v>141.62166666666667</c:v>
                </c:pt>
                <c:pt idx="427">
                  <c:v>141.95333333333332</c:v>
                </c:pt>
                <c:pt idx="428">
                  <c:v>142.285</c:v>
                </c:pt>
                <c:pt idx="429">
                  <c:v>142.61666666666667</c:v>
                </c:pt>
                <c:pt idx="430">
                  <c:v>142.94833333333332</c:v>
                </c:pt>
                <c:pt idx="431">
                  <c:v>143.28</c:v>
                </c:pt>
                <c:pt idx="432">
                  <c:v>143.61166666666668</c:v>
                </c:pt>
                <c:pt idx="433">
                  <c:v>143.94333333333333</c:v>
                </c:pt>
                <c:pt idx="434">
                  <c:v>144.27500000000001</c:v>
                </c:pt>
                <c:pt idx="435">
                  <c:v>144.60666666666665</c:v>
                </c:pt>
                <c:pt idx="436">
                  <c:v>144.93833333333333</c:v>
                </c:pt>
                <c:pt idx="437">
                  <c:v>145.27000000000001</c:v>
                </c:pt>
                <c:pt idx="438">
                  <c:v>145.60166666666666</c:v>
                </c:pt>
                <c:pt idx="439">
                  <c:v>145.93333333333334</c:v>
                </c:pt>
                <c:pt idx="440">
                  <c:v>146.26499999999999</c:v>
                </c:pt>
                <c:pt idx="441">
                  <c:v>146.59666666666666</c:v>
                </c:pt>
                <c:pt idx="442">
                  <c:v>146.92833333333334</c:v>
                </c:pt>
                <c:pt idx="443">
                  <c:v>147.26</c:v>
                </c:pt>
                <c:pt idx="444">
                  <c:v>147.59166666666667</c:v>
                </c:pt>
                <c:pt idx="445">
                  <c:v>147.92333333333335</c:v>
                </c:pt>
                <c:pt idx="446">
                  <c:v>148.255</c:v>
                </c:pt>
                <c:pt idx="447">
                  <c:v>148.58666666666667</c:v>
                </c:pt>
                <c:pt idx="448">
                  <c:v>148.91833333333332</c:v>
                </c:pt>
                <c:pt idx="449">
                  <c:v>149.25</c:v>
                </c:pt>
                <c:pt idx="450">
                  <c:v>149.58166666666668</c:v>
                </c:pt>
                <c:pt idx="451">
                  <c:v>149.91333333333333</c:v>
                </c:pt>
                <c:pt idx="452">
                  <c:v>150.245</c:v>
                </c:pt>
                <c:pt idx="453">
                  <c:v>150.57666666666665</c:v>
                </c:pt>
                <c:pt idx="454">
                  <c:v>150.90833333333333</c:v>
                </c:pt>
                <c:pt idx="455">
                  <c:v>151.24</c:v>
                </c:pt>
                <c:pt idx="456">
                  <c:v>151.57166666666666</c:v>
                </c:pt>
                <c:pt idx="457">
                  <c:v>151.90333333333334</c:v>
                </c:pt>
                <c:pt idx="458">
                  <c:v>152.23499999999999</c:v>
                </c:pt>
                <c:pt idx="459">
                  <c:v>152.56666666666666</c:v>
                </c:pt>
                <c:pt idx="460">
                  <c:v>152.89833333333334</c:v>
                </c:pt>
                <c:pt idx="461">
                  <c:v>153.22999999999999</c:v>
                </c:pt>
                <c:pt idx="462">
                  <c:v>153.56166666666667</c:v>
                </c:pt>
                <c:pt idx="463">
                  <c:v>153.89333333333335</c:v>
                </c:pt>
                <c:pt idx="464">
                  <c:v>154.22499999999999</c:v>
                </c:pt>
                <c:pt idx="465">
                  <c:v>154.55666666666667</c:v>
                </c:pt>
                <c:pt idx="466">
                  <c:v>154.88833333333332</c:v>
                </c:pt>
                <c:pt idx="467">
                  <c:v>155.22</c:v>
                </c:pt>
                <c:pt idx="468">
                  <c:v>155.55166666666668</c:v>
                </c:pt>
                <c:pt idx="469">
                  <c:v>155.88333333333333</c:v>
                </c:pt>
                <c:pt idx="470">
                  <c:v>156.215</c:v>
                </c:pt>
                <c:pt idx="471">
                  <c:v>156.54666666666665</c:v>
                </c:pt>
                <c:pt idx="472">
                  <c:v>156.87833333333333</c:v>
                </c:pt>
                <c:pt idx="473">
                  <c:v>157.21</c:v>
                </c:pt>
                <c:pt idx="474">
                  <c:v>157.54166666666666</c:v>
                </c:pt>
                <c:pt idx="475">
                  <c:v>157.87333333333333</c:v>
                </c:pt>
                <c:pt idx="476">
                  <c:v>158.20500000000001</c:v>
                </c:pt>
                <c:pt idx="477">
                  <c:v>158.53666666666666</c:v>
                </c:pt>
                <c:pt idx="478">
                  <c:v>158.86833333333334</c:v>
                </c:pt>
                <c:pt idx="479">
                  <c:v>159.19999999999999</c:v>
                </c:pt>
                <c:pt idx="480">
                  <c:v>159.53166666666667</c:v>
                </c:pt>
                <c:pt idx="481">
                  <c:v>159.86333333333334</c:v>
                </c:pt>
                <c:pt idx="482">
                  <c:v>160.19499999999999</c:v>
                </c:pt>
                <c:pt idx="483">
                  <c:v>160.52666666666667</c:v>
                </c:pt>
                <c:pt idx="484">
                  <c:v>160.85833333333332</c:v>
                </c:pt>
                <c:pt idx="485">
                  <c:v>161.19</c:v>
                </c:pt>
                <c:pt idx="486">
                  <c:v>161.52166666666668</c:v>
                </c:pt>
                <c:pt idx="487">
                  <c:v>161.85333333333332</c:v>
                </c:pt>
                <c:pt idx="488">
                  <c:v>162.185</c:v>
                </c:pt>
                <c:pt idx="489">
                  <c:v>162.51666666666668</c:v>
                </c:pt>
                <c:pt idx="490">
                  <c:v>162.84833333333333</c:v>
                </c:pt>
                <c:pt idx="491">
                  <c:v>163.18</c:v>
                </c:pt>
                <c:pt idx="492">
                  <c:v>163.51166666666666</c:v>
                </c:pt>
                <c:pt idx="493">
                  <c:v>163.84333333333333</c:v>
                </c:pt>
                <c:pt idx="494">
                  <c:v>164.17500000000001</c:v>
                </c:pt>
                <c:pt idx="495">
                  <c:v>164.50666666666666</c:v>
                </c:pt>
                <c:pt idx="496">
                  <c:v>164.83833333333334</c:v>
                </c:pt>
                <c:pt idx="497">
                  <c:v>165.17</c:v>
                </c:pt>
                <c:pt idx="498">
                  <c:v>165.50166666666667</c:v>
                </c:pt>
                <c:pt idx="499">
                  <c:v>165.83333333333334</c:v>
                </c:pt>
                <c:pt idx="500">
                  <c:v>166.16499999999999</c:v>
                </c:pt>
                <c:pt idx="501">
                  <c:v>166.49666666666667</c:v>
                </c:pt>
                <c:pt idx="502">
                  <c:v>166.82833333333332</c:v>
                </c:pt>
                <c:pt idx="503">
                  <c:v>167.16</c:v>
                </c:pt>
                <c:pt idx="504">
                  <c:v>167.49166666666667</c:v>
                </c:pt>
                <c:pt idx="505">
                  <c:v>167.82333333333332</c:v>
                </c:pt>
                <c:pt idx="506">
                  <c:v>168.155</c:v>
                </c:pt>
                <c:pt idx="507">
                  <c:v>168.48666666666668</c:v>
                </c:pt>
                <c:pt idx="508">
                  <c:v>168.81833333333333</c:v>
                </c:pt>
                <c:pt idx="509">
                  <c:v>169.15</c:v>
                </c:pt>
                <c:pt idx="510">
                  <c:v>169.48166666666665</c:v>
                </c:pt>
                <c:pt idx="511">
                  <c:v>169.81333333333333</c:v>
                </c:pt>
                <c:pt idx="512">
                  <c:v>170.14500000000001</c:v>
                </c:pt>
                <c:pt idx="513">
                  <c:v>170.47666666666666</c:v>
                </c:pt>
                <c:pt idx="514">
                  <c:v>170.80833333333334</c:v>
                </c:pt>
                <c:pt idx="515">
                  <c:v>171.14</c:v>
                </c:pt>
                <c:pt idx="516">
                  <c:v>171.47166666666666</c:v>
                </c:pt>
                <c:pt idx="517">
                  <c:v>171.80333333333334</c:v>
                </c:pt>
                <c:pt idx="518">
                  <c:v>172.13499999999999</c:v>
                </c:pt>
                <c:pt idx="519">
                  <c:v>172.46666666666667</c:v>
                </c:pt>
                <c:pt idx="520">
                  <c:v>172.79833333333335</c:v>
                </c:pt>
                <c:pt idx="521">
                  <c:v>173.13</c:v>
                </c:pt>
                <c:pt idx="522">
                  <c:v>173.46166666666667</c:v>
                </c:pt>
                <c:pt idx="523">
                  <c:v>173.79333333333332</c:v>
                </c:pt>
                <c:pt idx="524">
                  <c:v>174.125</c:v>
                </c:pt>
                <c:pt idx="525">
                  <c:v>174.45666666666668</c:v>
                </c:pt>
                <c:pt idx="526">
                  <c:v>174.78833333333333</c:v>
                </c:pt>
                <c:pt idx="527">
                  <c:v>175.12</c:v>
                </c:pt>
                <c:pt idx="528">
                  <c:v>175.45166666666665</c:v>
                </c:pt>
                <c:pt idx="529">
                  <c:v>175.78333333333333</c:v>
                </c:pt>
                <c:pt idx="530">
                  <c:v>176.11500000000001</c:v>
                </c:pt>
                <c:pt idx="531">
                  <c:v>176.44666666666666</c:v>
                </c:pt>
                <c:pt idx="532">
                  <c:v>176.77833333333334</c:v>
                </c:pt>
                <c:pt idx="533">
                  <c:v>177.10999999999999</c:v>
                </c:pt>
                <c:pt idx="534">
                  <c:v>177.44166666666666</c:v>
                </c:pt>
                <c:pt idx="535">
                  <c:v>177.77333333333334</c:v>
                </c:pt>
                <c:pt idx="536">
                  <c:v>178.10499999999999</c:v>
                </c:pt>
                <c:pt idx="537">
                  <c:v>178.43666666666667</c:v>
                </c:pt>
                <c:pt idx="538">
                  <c:v>178.76833333333335</c:v>
                </c:pt>
                <c:pt idx="539">
                  <c:v>179.1</c:v>
                </c:pt>
                <c:pt idx="540">
                  <c:v>179.43166666666667</c:v>
                </c:pt>
                <c:pt idx="541">
                  <c:v>179.76333333333332</c:v>
                </c:pt>
                <c:pt idx="542">
                  <c:v>180.095</c:v>
                </c:pt>
                <c:pt idx="543">
                  <c:v>180.42666666666668</c:v>
                </c:pt>
                <c:pt idx="544">
                  <c:v>180.75833333333333</c:v>
                </c:pt>
                <c:pt idx="545">
                  <c:v>181.09</c:v>
                </c:pt>
                <c:pt idx="546">
                  <c:v>181.42166666666665</c:v>
                </c:pt>
                <c:pt idx="547">
                  <c:v>181.75333333333333</c:v>
                </c:pt>
                <c:pt idx="548">
                  <c:v>182.08500000000001</c:v>
                </c:pt>
                <c:pt idx="549">
                  <c:v>182.41666666666666</c:v>
                </c:pt>
                <c:pt idx="550">
                  <c:v>182.74833333333333</c:v>
                </c:pt>
                <c:pt idx="551">
                  <c:v>183.08</c:v>
                </c:pt>
                <c:pt idx="552">
                  <c:v>183.41166666666666</c:v>
                </c:pt>
                <c:pt idx="553">
                  <c:v>183.74333333333334</c:v>
                </c:pt>
                <c:pt idx="554">
                  <c:v>184.07499999999999</c:v>
                </c:pt>
                <c:pt idx="555">
                  <c:v>184.40666666666667</c:v>
                </c:pt>
                <c:pt idx="556">
                  <c:v>184.73833333333334</c:v>
                </c:pt>
                <c:pt idx="557">
                  <c:v>185.07</c:v>
                </c:pt>
                <c:pt idx="558">
                  <c:v>185.40166666666667</c:v>
                </c:pt>
                <c:pt idx="559">
                  <c:v>185.73333333333332</c:v>
                </c:pt>
                <c:pt idx="560">
                  <c:v>186.065</c:v>
                </c:pt>
                <c:pt idx="561">
                  <c:v>186.39666666666668</c:v>
                </c:pt>
                <c:pt idx="562">
                  <c:v>186.72833333333332</c:v>
                </c:pt>
                <c:pt idx="563">
                  <c:v>187.06</c:v>
                </c:pt>
                <c:pt idx="564">
                  <c:v>187.39166666666668</c:v>
                </c:pt>
                <c:pt idx="565">
                  <c:v>187.72333333333333</c:v>
                </c:pt>
                <c:pt idx="566">
                  <c:v>188.05500000000001</c:v>
                </c:pt>
                <c:pt idx="567">
                  <c:v>188.38666666666666</c:v>
                </c:pt>
                <c:pt idx="568">
                  <c:v>188.71833333333333</c:v>
                </c:pt>
                <c:pt idx="569">
                  <c:v>189.05</c:v>
                </c:pt>
                <c:pt idx="570">
                  <c:v>189.38166666666666</c:v>
                </c:pt>
                <c:pt idx="571">
                  <c:v>189.71333333333334</c:v>
                </c:pt>
                <c:pt idx="572">
                  <c:v>190.04499999999999</c:v>
                </c:pt>
                <c:pt idx="573">
                  <c:v>190.37666666666667</c:v>
                </c:pt>
                <c:pt idx="574">
                  <c:v>190.70833333333334</c:v>
                </c:pt>
                <c:pt idx="575">
                  <c:v>191.04</c:v>
                </c:pt>
                <c:pt idx="576">
                  <c:v>191.37166666666667</c:v>
                </c:pt>
                <c:pt idx="577">
                  <c:v>191.70333333333332</c:v>
                </c:pt>
                <c:pt idx="578">
                  <c:v>192.035</c:v>
                </c:pt>
                <c:pt idx="579">
                  <c:v>192.36666666666667</c:v>
                </c:pt>
                <c:pt idx="580">
                  <c:v>192.69833333333332</c:v>
                </c:pt>
                <c:pt idx="581">
                  <c:v>193.03</c:v>
                </c:pt>
                <c:pt idx="582">
                  <c:v>193.36166666666668</c:v>
                </c:pt>
                <c:pt idx="583">
                  <c:v>193.69333333333333</c:v>
                </c:pt>
                <c:pt idx="584">
                  <c:v>194.02500000000001</c:v>
                </c:pt>
                <c:pt idx="585">
                  <c:v>194.35666666666665</c:v>
                </c:pt>
                <c:pt idx="586">
                  <c:v>194.68833333333333</c:v>
                </c:pt>
                <c:pt idx="587">
                  <c:v>195.02</c:v>
                </c:pt>
                <c:pt idx="588">
                  <c:v>195.35166666666666</c:v>
                </c:pt>
                <c:pt idx="589">
                  <c:v>195.68333333333334</c:v>
                </c:pt>
                <c:pt idx="590">
                  <c:v>196.01499999999999</c:v>
                </c:pt>
                <c:pt idx="591">
                  <c:v>196.34666666666666</c:v>
                </c:pt>
                <c:pt idx="592">
                  <c:v>196.67833333333334</c:v>
                </c:pt>
                <c:pt idx="593">
                  <c:v>197.01</c:v>
                </c:pt>
                <c:pt idx="594">
                  <c:v>197.34166666666667</c:v>
                </c:pt>
                <c:pt idx="595">
                  <c:v>197.67333333333335</c:v>
                </c:pt>
                <c:pt idx="596">
                  <c:v>198.005</c:v>
                </c:pt>
                <c:pt idx="597">
                  <c:v>198.33666666666667</c:v>
                </c:pt>
                <c:pt idx="598">
                  <c:v>198.66833333333332</c:v>
                </c:pt>
                <c:pt idx="599">
                  <c:v>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3A-4097-A75F-EE2D7CE05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81360"/>
        <c:axId val="1402083856"/>
      </c:scatterChart>
      <c:valAx>
        <c:axId val="140208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083856"/>
        <c:crosses val="autoZero"/>
        <c:crossBetween val="midCat"/>
      </c:valAx>
      <c:valAx>
        <c:axId val="1402083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08136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KNNC_TrainingLiftChart!$BE$4:$BE$13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KNNC_TrainingLiftChart!$BF$4:$BF$13</c:f>
              <c:numCache>
                <c:formatCode>General</c:formatCode>
                <c:ptCount val="10"/>
                <c:pt idx="0">
                  <c:v>3.0150753768844223</c:v>
                </c:pt>
                <c:pt idx="1">
                  <c:v>2.9145728643216082</c:v>
                </c:pt>
                <c:pt idx="2">
                  <c:v>2.2613065326633168</c:v>
                </c:pt>
                <c:pt idx="3">
                  <c:v>1.306532663316583</c:v>
                </c:pt>
                <c:pt idx="4">
                  <c:v>0.4020100502512563</c:v>
                </c:pt>
                <c:pt idx="5">
                  <c:v>0.10050251256281408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08-4883-B763-7D6B87D91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080944"/>
        <c:axId val="1402083440"/>
      </c:barChart>
      <c:catAx>
        <c:axId val="140208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083440"/>
        <c:crosses val="autoZero"/>
        <c:auto val="1"/>
        <c:lblAlgn val="ctr"/>
        <c:lblOffset val="100"/>
        <c:noMultiLvlLbl val="0"/>
      </c:catAx>
      <c:valAx>
        <c:axId val="1402083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080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0.97448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kNN Classifier</c:v>
          </c:tx>
          <c:spPr>
            <a:ln w="6350"/>
          </c:spPr>
          <c:marker>
            <c:symbol val="none"/>
          </c:marker>
          <c:xVal>
            <c:numRef>
              <c:f>KNNC_TrainingLiftChart!$BZ$2:$BZ$20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4.9875311720698253E-3</c:v>
                </c:pt>
                <c:pt idx="3">
                  <c:v>1.2468827930174564E-2</c:v>
                </c:pt>
                <c:pt idx="4">
                  <c:v>2.2443890274314215E-2</c:v>
                </c:pt>
                <c:pt idx="5">
                  <c:v>2.2443890274314215E-2</c:v>
                </c:pt>
                <c:pt idx="6">
                  <c:v>3.4912718204488775E-2</c:v>
                </c:pt>
                <c:pt idx="7">
                  <c:v>3.9900249376558602E-2</c:v>
                </c:pt>
                <c:pt idx="8">
                  <c:v>4.2394014962593519E-2</c:v>
                </c:pt>
                <c:pt idx="9">
                  <c:v>4.488778054862843E-2</c:v>
                </c:pt>
                <c:pt idx="10">
                  <c:v>6.2344139650872821E-2</c:v>
                </c:pt>
                <c:pt idx="11">
                  <c:v>8.2294264339152115E-2</c:v>
                </c:pt>
                <c:pt idx="12">
                  <c:v>9.9750623441396513E-2</c:v>
                </c:pt>
                <c:pt idx="13">
                  <c:v>0.12219451371571072</c:v>
                </c:pt>
                <c:pt idx="14">
                  <c:v>0.18204488778054864</c:v>
                </c:pt>
                <c:pt idx="15">
                  <c:v>0.21446384039900249</c:v>
                </c:pt>
                <c:pt idx="16">
                  <c:v>0.23192019950124687</c:v>
                </c:pt>
                <c:pt idx="17">
                  <c:v>0.34663341645885287</c:v>
                </c:pt>
                <c:pt idx="18">
                  <c:v>1</c:v>
                </c:pt>
              </c:numCache>
            </c:numRef>
          </c:xVal>
          <c:yVal>
            <c:numRef>
              <c:f>KNNC_TrainingLiftChart!$CA$2:$CA$20</c:f>
              <c:numCache>
                <c:formatCode>General</c:formatCode>
                <c:ptCount val="19"/>
                <c:pt idx="0">
                  <c:v>0</c:v>
                </c:pt>
                <c:pt idx="1">
                  <c:v>0.43718592964824121</c:v>
                </c:pt>
                <c:pt idx="2">
                  <c:v>0.56281407035175879</c:v>
                </c:pt>
                <c:pt idx="3">
                  <c:v>0.66834170854271358</c:v>
                </c:pt>
                <c:pt idx="4">
                  <c:v>0.74874371859296485</c:v>
                </c:pt>
                <c:pt idx="5">
                  <c:v>0.76381909547738691</c:v>
                </c:pt>
                <c:pt idx="6">
                  <c:v>0.78894472361809043</c:v>
                </c:pt>
                <c:pt idx="7">
                  <c:v>0.81407035175879394</c:v>
                </c:pt>
                <c:pt idx="8">
                  <c:v>0.82914572864321612</c:v>
                </c:pt>
                <c:pt idx="9">
                  <c:v>0.83919597989949746</c:v>
                </c:pt>
                <c:pt idx="10">
                  <c:v>0.84924623115577891</c:v>
                </c:pt>
                <c:pt idx="11">
                  <c:v>0.89447236180904521</c:v>
                </c:pt>
                <c:pt idx="12">
                  <c:v>0.91959798994974873</c:v>
                </c:pt>
                <c:pt idx="13">
                  <c:v>0.94472361809045224</c:v>
                </c:pt>
                <c:pt idx="14">
                  <c:v>0.97487437185929648</c:v>
                </c:pt>
                <c:pt idx="15">
                  <c:v>0.98492462311557794</c:v>
                </c:pt>
                <c:pt idx="16">
                  <c:v>0.98492462311557794</c:v>
                </c:pt>
                <c:pt idx="17">
                  <c:v>1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02-4EFC-AC7D-65BBD3882AD8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KNNC_TrainingLiftChart!$BZ$2:$BZ$20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4.9875311720698253E-3</c:v>
                </c:pt>
                <c:pt idx="3">
                  <c:v>1.2468827930174564E-2</c:v>
                </c:pt>
                <c:pt idx="4">
                  <c:v>2.2443890274314215E-2</c:v>
                </c:pt>
                <c:pt idx="5">
                  <c:v>2.2443890274314215E-2</c:v>
                </c:pt>
                <c:pt idx="6">
                  <c:v>3.4912718204488775E-2</c:v>
                </c:pt>
                <c:pt idx="7">
                  <c:v>3.9900249376558602E-2</c:v>
                </c:pt>
                <c:pt idx="8">
                  <c:v>4.2394014962593519E-2</c:v>
                </c:pt>
                <c:pt idx="9">
                  <c:v>4.488778054862843E-2</c:v>
                </c:pt>
                <c:pt idx="10">
                  <c:v>6.2344139650872821E-2</c:v>
                </c:pt>
                <c:pt idx="11">
                  <c:v>8.2294264339152115E-2</c:v>
                </c:pt>
                <c:pt idx="12">
                  <c:v>9.9750623441396513E-2</c:v>
                </c:pt>
                <c:pt idx="13">
                  <c:v>0.12219451371571072</c:v>
                </c:pt>
                <c:pt idx="14">
                  <c:v>0.18204488778054864</c:v>
                </c:pt>
                <c:pt idx="15">
                  <c:v>0.21446384039900249</c:v>
                </c:pt>
                <c:pt idx="16">
                  <c:v>0.23192019950124687</c:v>
                </c:pt>
                <c:pt idx="17">
                  <c:v>0.34663341645885287</c:v>
                </c:pt>
                <c:pt idx="18">
                  <c:v>1</c:v>
                </c:pt>
              </c:numCache>
            </c:numRef>
          </c:xVal>
          <c:yVal>
            <c:numRef>
              <c:f>KNNC_TrainingLiftChart!$CB$2:$CB$20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4.9875311720698253E-3</c:v>
                </c:pt>
                <c:pt idx="3">
                  <c:v>1.2468827930174564E-2</c:v>
                </c:pt>
                <c:pt idx="4">
                  <c:v>2.2443890274314215E-2</c:v>
                </c:pt>
                <c:pt idx="5">
                  <c:v>2.2443890274314215E-2</c:v>
                </c:pt>
                <c:pt idx="6">
                  <c:v>3.4912718204488775E-2</c:v>
                </c:pt>
                <c:pt idx="7">
                  <c:v>3.9900249376558602E-2</c:v>
                </c:pt>
                <c:pt idx="8">
                  <c:v>4.2394014962593519E-2</c:v>
                </c:pt>
                <c:pt idx="9">
                  <c:v>4.488778054862843E-2</c:v>
                </c:pt>
                <c:pt idx="10">
                  <c:v>6.2344139650872821E-2</c:v>
                </c:pt>
                <c:pt idx="11">
                  <c:v>8.2294264339152115E-2</c:v>
                </c:pt>
                <c:pt idx="12">
                  <c:v>9.9750623441396513E-2</c:v>
                </c:pt>
                <c:pt idx="13">
                  <c:v>0.12219451371571072</c:v>
                </c:pt>
                <c:pt idx="14">
                  <c:v>0.18204488778054864</c:v>
                </c:pt>
                <c:pt idx="15">
                  <c:v>0.21446384039900249</c:v>
                </c:pt>
                <c:pt idx="16">
                  <c:v>0.23192019950124687</c:v>
                </c:pt>
                <c:pt idx="17">
                  <c:v>0.34663341645885287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02-4EFC-AC7D-65BBD3882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742080"/>
        <c:axId val="1402498528"/>
      </c:scatterChart>
      <c:valAx>
        <c:axId val="1405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2498528"/>
        <c:crosses val="autoZero"/>
        <c:crossBetween val="midCat"/>
      </c:valAx>
      <c:valAx>
        <c:axId val="1402498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57420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Direct when sorted using predicted values</c:v>
          </c:tx>
          <c:spPr>
            <a:ln w="6350"/>
          </c:spPr>
          <c:marker>
            <c:symbol val="none"/>
          </c:marker>
          <c:xVal>
            <c:numRef>
              <c:f>KNNC_ValidationLiftChart!$AZ$4:$AZ$403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KNNC_ValidationLiftChart!$BC$4:$BC$403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70</c:v>
                </c:pt>
                <c:pt idx="73">
                  <c:v>71</c:v>
                </c:pt>
                <c:pt idx="74">
                  <c:v>72</c:v>
                </c:pt>
                <c:pt idx="75">
                  <c:v>73</c:v>
                </c:pt>
                <c:pt idx="76">
                  <c:v>74</c:v>
                </c:pt>
                <c:pt idx="77">
                  <c:v>75</c:v>
                </c:pt>
                <c:pt idx="78">
                  <c:v>76</c:v>
                </c:pt>
                <c:pt idx="79">
                  <c:v>77</c:v>
                </c:pt>
                <c:pt idx="80">
                  <c:v>77</c:v>
                </c:pt>
                <c:pt idx="81">
                  <c:v>78</c:v>
                </c:pt>
                <c:pt idx="82">
                  <c:v>79</c:v>
                </c:pt>
                <c:pt idx="83">
                  <c:v>80</c:v>
                </c:pt>
                <c:pt idx="84">
                  <c:v>81</c:v>
                </c:pt>
                <c:pt idx="85">
                  <c:v>82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85</c:v>
                </c:pt>
                <c:pt idx="90">
                  <c:v>86</c:v>
                </c:pt>
                <c:pt idx="91">
                  <c:v>87</c:v>
                </c:pt>
                <c:pt idx="92">
                  <c:v>88</c:v>
                </c:pt>
                <c:pt idx="93">
                  <c:v>88</c:v>
                </c:pt>
                <c:pt idx="94">
                  <c:v>89</c:v>
                </c:pt>
                <c:pt idx="95">
                  <c:v>89</c:v>
                </c:pt>
                <c:pt idx="96">
                  <c:v>89</c:v>
                </c:pt>
                <c:pt idx="97">
                  <c:v>90</c:v>
                </c:pt>
                <c:pt idx="98">
                  <c:v>91</c:v>
                </c:pt>
                <c:pt idx="99">
                  <c:v>92</c:v>
                </c:pt>
                <c:pt idx="100">
                  <c:v>92</c:v>
                </c:pt>
                <c:pt idx="101">
                  <c:v>92</c:v>
                </c:pt>
                <c:pt idx="102">
                  <c:v>93</c:v>
                </c:pt>
                <c:pt idx="103">
                  <c:v>93</c:v>
                </c:pt>
                <c:pt idx="104">
                  <c:v>93</c:v>
                </c:pt>
                <c:pt idx="105">
                  <c:v>93</c:v>
                </c:pt>
                <c:pt idx="106">
                  <c:v>94</c:v>
                </c:pt>
                <c:pt idx="107">
                  <c:v>95</c:v>
                </c:pt>
                <c:pt idx="108">
                  <c:v>96</c:v>
                </c:pt>
                <c:pt idx="109">
                  <c:v>97</c:v>
                </c:pt>
                <c:pt idx="110">
                  <c:v>97</c:v>
                </c:pt>
                <c:pt idx="111">
                  <c:v>97</c:v>
                </c:pt>
                <c:pt idx="112">
                  <c:v>98</c:v>
                </c:pt>
                <c:pt idx="113">
                  <c:v>99</c:v>
                </c:pt>
                <c:pt idx="114">
                  <c:v>99</c:v>
                </c:pt>
                <c:pt idx="115">
                  <c:v>100</c:v>
                </c:pt>
                <c:pt idx="116">
                  <c:v>100</c:v>
                </c:pt>
                <c:pt idx="117">
                  <c:v>101</c:v>
                </c:pt>
                <c:pt idx="118">
                  <c:v>102</c:v>
                </c:pt>
                <c:pt idx="119">
                  <c:v>102</c:v>
                </c:pt>
                <c:pt idx="120">
                  <c:v>102</c:v>
                </c:pt>
                <c:pt idx="121">
                  <c:v>103</c:v>
                </c:pt>
                <c:pt idx="122">
                  <c:v>103</c:v>
                </c:pt>
                <c:pt idx="123">
                  <c:v>103</c:v>
                </c:pt>
                <c:pt idx="124">
                  <c:v>103</c:v>
                </c:pt>
                <c:pt idx="125">
                  <c:v>103</c:v>
                </c:pt>
                <c:pt idx="126">
                  <c:v>103</c:v>
                </c:pt>
                <c:pt idx="127">
                  <c:v>103</c:v>
                </c:pt>
                <c:pt idx="128">
                  <c:v>103</c:v>
                </c:pt>
                <c:pt idx="129">
                  <c:v>103</c:v>
                </c:pt>
                <c:pt idx="130">
                  <c:v>103</c:v>
                </c:pt>
                <c:pt idx="131">
                  <c:v>103</c:v>
                </c:pt>
                <c:pt idx="132">
                  <c:v>103</c:v>
                </c:pt>
                <c:pt idx="133">
                  <c:v>104</c:v>
                </c:pt>
                <c:pt idx="134">
                  <c:v>104</c:v>
                </c:pt>
                <c:pt idx="135">
                  <c:v>104</c:v>
                </c:pt>
                <c:pt idx="136">
                  <c:v>104</c:v>
                </c:pt>
                <c:pt idx="137">
                  <c:v>104</c:v>
                </c:pt>
                <c:pt idx="138">
                  <c:v>104</c:v>
                </c:pt>
                <c:pt idx="139">
                  <c:v>105</c:v>
                </c:pt>
                <c:pt idx="140">
                  <c:v>106</c:v>
                </c:pt>
                <c:pt idx="141">
                  <c:v>107</c:v>
                </c:pt>
                <c:pt idx="142">
                  <c:v>107</c:v>
                </c:pt>
                <c:pt idx="143">
                  <c:v>107</c:v>
                </c:pt>
                <c:pt idx="144">
                  <c:v>107</c:v>
                </c:pt>
                <c:pt idx="145">
                  <c:v>108</c:v>
                </c:pt>
                <c:pt idx="146">
                  <c:v>108</c:v>
                </c:pt>
                <c:pt idx="147">
                  <c:v>108</c:v>
                </c:pt>
                <c:pt idx="148">
                  <c:v>108</c:v>
                </c:pt>
                <c:pt idx="149">
                  <c:v>108</c:v>
                </c:pt>
                <c:pt idx="150">
                  <c:v>108</c:v>
                </c:pt>
                <c:pt idx="151">
                  <c:v>109</c:v>
                </c:pt>
                <c:pt idx="152">
                  <c:v>110</c:v>
                </c:pt>
                <c:pt idx="153">
                  <c:v>110</c:v>
                </c:pt>
                <c:pt idx="154">
                  <c:v>110</c:v>
                </c:pt>
                <c:pt idx="155">
                  <c:v>110</c:v>
                </c:pt>
                <c:pt idx="156">
                  <c:v>110</c:v>
                </c:pt>
                <c:pt idx="157">
                  <c:v>111</c:v>
                </c:pt>
                <c:pt idx="158">
                  <c:v>112</c:v>
                </c:pt>
                <c:pt idx="159">
                  <c:v>113</c:v>
                </c:pt>
                <c:pt idx="160">
                  <c:v>114</c:v>
                </c:pt>
                <c:pt idx="161">
                  <c:v>114</c:v>
                </c:pt>
                <c:pt idx="162">
                  <c:v>114</c:v>
                </c:pt>
                <c:pt idx="163">
                  <c:v>114</c:v>
                </c:pt>
                <c:pt idx="164">
                  <c:v>114</c:v>
                </c:pt>
                <c:pt idx="165">
                  <c:v>114</c:v>
                </c:pt>
                <c:pt idx="166">
                  <c:v>114</c:v>
                </c:pt>
                <c:pt idx="167">
                  <c:v>114</c:v>
                </c:pt>
                <c:pt idx="168">
                  <c:v>114</c:v>
                </c:pt>
                <c:pt idx="169">
                  <c:v>115</c:v>
                </c:pt>
                <c:pt idx="170">
                  <c:v>116</c:v>
                </c:pt>
                <c:pt idx="171">
                  <c:v>116</c:v>
                </c:pt>
                <c:pt idx="172">
                  <c:v>116</c:v>
                </c:pt>
                <c:pt idx="173">
                  <c:v>116</c:v>
                </c:pt>
                <c:pt idx="174">
                  <c:v>116</c:v>
                </c:pt>
                <c:pt idx="175">
                  <c:v>116</c:v>
                </c:pt>
                <c:pt idx="176">
                  <c:v>117</c:v>
                </c:pt>
                <c:pt idx="177">
                  <c:v>118</c:v>
                </c:pt>
                <c:pt idx="178">
                  <c:v>119</c:v>
                </c:pt>
                <c:pt idx="179">
                  <c:v>119</c:v>
                </c:pt>
                <c:pt idx="180">
                  <c:v>119</c:v>
                </c:pt>
                <c:pt idx="181">
                  <c:v>119</c:v>
                </c:pt>
                <c:pt idx="182">
                  <c:v>119</c:v>
                </c:pt>
                <c:pt idx="183">
                  <c:v>119</c:v>
                </c:pt>
                <c:pt idx="184">
                  <c:v>119</c:v>
                </c:pt>
                <c:pt idx="185">
                  <c:v>119</c:v>
                </c:pt>
                <c:pt idx="186">
                  <c:v>119</c:v>
                </c:pt>
                <c:pt idx="187">
                  <c:v>119</c:v>
                </c:pt>
                <c:pt idx="188">
                  <c:v>119</c:v>
                </c:pt>
                <c:pt idx="189">
                  <c:v>119</c:v>
                </c:pt>
                <c:pt idx="190">
                  <c:v>119</c:v>
                </c:pt>
                <c:pt idx="191">
                  <c:v>120</c:v>
                </c:pt>
                <c:pt idx="192">
                  <c:v>120</c:v>
                </c:pt>
                <c:pt idx="193">
                  <c:v>120</c:v>
                </c:pt>
                <c:pt idx="194">
                  <c:v>120</c:v>
                </c:pt>
                <c:pt idx="195">
                  <c:v>120</c:v>
                </c:pt>
                <c:pt idx="196">
                  <c:v>120</c:v>
                </c:pt>
                <c:pt idx="197">
                  <c:v>121</c:v>
                </c:pt>
                <c:pt idx="198">
                  <c:v>121</c:v>
                </c:pt>
                <c:pt idx="199">
                  <c:v>121</c:v>
                </c:pt>
                <c:pt idx="200">
                  <c:v>121</c:v>
                </c:pt>
                <c:pt idx="201">
                  <c:v>122</c:v>
                </c:pt>
                <c:pt idx="202">
                  <c:v>122</c:v>
                </c:pt>
                <c:pt idx="203">
                  <c:v>122</c:v>
                </c:pt>
                <c:pt idx="204">
                  <c:v>122</c:v>
                </c:pt>
                <c:pt idx="205">
                  <c:v>122</c:v>
                </c:pt>
                <c:pt idx="206">
                  <c:v>122</c:v>
                </c:pt>
                <c:pt idx="207">
                  <c:v>122</c:v>
                </c:pt>
                <c:pt idx="208">
                  <c:v>122</c:v>
                </c:pt>
                <c:pt idx="209">
                  <c:v>122</c:v>
                </c:pt>
                <c:pt idx="210">
                  <c:v>122</c:v>
                </c:pt>
                <c:pt idx="211">
                  <c:v>122</c:v>
                </c:pt>
                <c:pt idx="212">
                  <c:v>122</c:v>
                </c:pt>
                <c:pt idx="213">
                  <c:v>122</c:v>
                </c:pt>
                <c:pt idx="214">
                  <c:v>122</c:v>
                </c:pt>
                <c:pt idx="215">
                  <c:v>122</c:v>
                </c:pt>
                <c:pt idx="216">
                  <c:v>122</c:v>
                </c:pt>
                <c:pt idx="217">
                  <c:v>122</c:v>
                </c:pt>
                <c:pt idx="218">
                  <c:v>122</c:v>
                </c:pt>
                <c:pt idx="219">
                  <c:v>122</c:v>
                </c:pt>
                <c:pt idx="220">
                  <c:v>122</c:v>
                </c:pt>
                <c:pt idx="221">
                  <c:v>122</c:v>
                </c:pt>
                <c:pt idx="222">
                  <c:v>122</c:v>
                </c:pt>
                <c:pt idx="223">
                  <c:v>122</c:v>
                </c:pt>
                <c:pt idx="224">
                  <c:v>122</c:v>
                </c:pt>
                <c:pt idx="225">
                  <c:v>122</c:v>
                </c:pt>
                <c:pt idx="226">
                  <c:v>122</c:v>
                </c:pt>
                <c:pt idx="227">
                  <c:v>122</c:v>
                </c:pt>
                <c:pt idx="228">
                  <c:v>122</c:v>
                </c:pt>
                <c:pt idx="229">
                  <c:v>122</c:v>
                </c:pt>
                <c:pt idx="230">
                  <c:v>122</c:v>
                </c:pt>
                <c:pt idx="231">
                  <c:v>122</c:v>
                </c:pt>
                <c:pt idx="232">
                  <c:v>122</c:v>
                </c:pt>
                <c:pt idx="233">
                  <c:v>122</c:v>
                </c:pt>
                <c:pt idx="234">
                  <c:v>122</c:v>
                </c:pt>
                <c:pt idx="235">
                  <c:v>122</c:v>
                </c:pt>
                <c:pt idx="236">
                  <c:v>122</c:v>
                </c:pt>
                <c:pt idx="237">
                  <c:v>122</c:v>
                </c:pt>
                <c:pt idx="238">
                  <c:v>122</c:v>
                </c:pt>
                <c:pt idx="239">
                  <c:v>122</c:v>
                </c:pt>
                <c:pt idx="240">
                  <c:v>122</c:v>
                </c:pt>
                <c:pt idx="241">
                  <c:v>122</c:v>
                </c:pt>
                <c:pt idx="242">
                  <c:v>122</c:v>
                </c:pt>
                <c:pt idx="243">
                  <c:v>122</c:v>
                </c:pt>
                <c:pt idx="244">
                  <c:v>122</c:v>
                </c:pt>
                <c:pt idx="245">
                  <c:v>122</c:v>
                </c:pt>
                <c:pt idx="246">
                  <c:v>122</c:v>
                </c:pt>
                <c:pt idx="247">
                  <c:v>122</c:v>
                </c:pt>
                <c:pt idx="248">
                  <c:v>122</c:v>
                </c:pt>
                <c:pt idx="249">
                  <c:v>122</c:v>
                </c:pt>
                <c:pt idx="250">
                  <c:v>122</c:v>
                </c:pt>
                <c:pt idx="251">
                  <c:v>122</c:v>
                </c:pt>
                <c:pt idx="252">
                  <c:v>122</c:v>
                </c:pt>
                <c:pt idx="253">
                  <c:v>122</c:v>
                </c:pt>
                <c:pt idx="254">
                  <c:v>122</c:v>
                </c:pt>
                <c:pt idx="255">
                  <c:v>122</c:v>
                </c:pt>
                <c:pt idx="256">
                  <c:v>122</c:v>
                </c:pt>
                <c:pt idx="257">
                  <c:v>122</c:v>
                </c:pt>
                <c:pt idx="258">
                  <c:v>122</c:v>
                </c:pt>
                <c:pt idx="259">
                  <c:v>122</c:v>
                </c:pt>
                <c:pt idx="260">
                  <c:v>122</c:v>
                </c:pt>
                <c:pt idx="261">
                  <c:v>122</c:v>
                </c:pt>
                <c:pt idx="262">
                  <c:v>122</c:v>
                </c:pt>
                <c:pt idx="263">
                  <c:v>122</c:v>
                </c:pt>
                <c:pt idx="264">
                  <c:v>122</c:v>
                </c:pt>
                <c:pt idx="265">
                  <c:v>122</c:v>
                </c:pt>
                <c:pt idx="266">
                  <c:v>122</c:v>
                </c:pt>
                <c:pt idx="267">
                  <c:v>122</c:v>
                </c:pt>
                <c:pt idx="268">
                  <c:v>122</c:v>
                </c:pt>
                <c:pt idx="269">
                  <c:v>122</c:v>
                </c:pt>
                <c:pt idx="270">
                  <c:v>122</c:v>
                </c:pt>
                <c:pt idx="271">
                  <c:v>122</c:v>
                </c:pt>
                <c:pt idx="272">
                  <c:v>122</c:v>
                </c:pt>
                <c:pt idx="273">
                  <c:v>122</c:v>
                </c:pt>
                <c:pt idx="274">
                  <c:v>122</c:v>
                </c:pt>
                <c:pt idx="275">
                  <c:v>122</c:v>
                </c:pt>
                <c:pt idx="276">
                  <c:v>122</c:v>
                </c:pt>
                <c:pt idx="277">
                  <c:v>122</c:v>
                </c:pt>
                <c:pt idx="278">
                  <c:v>122</c:v>
                </c:pt>
                <c:pt idx="279">
                  <c:v>122</c:v>
                </c:pt>
                <c:pt idx="280">
                  <c:v>122</c:v>
                </c:pt>
                <c:pt idx="281">
                  <c:v>122</c:v>
                </c:pt>
                <c:pt idx="282">
                  <c:v>122</c:v>
                </c:pt>
                <c:pt idx="283">
                  <c:v>122</c:v>
                </c:pt>
                <c:pt idx="284">
                  <c:v>122</c:v>
                </c:pt>
                <c:pt idx="285">
                  <c:v>122</c:v>
                </c:pt>
                <c:pt idx="286">
                  <c:v>122</c:v>
                </c:pt>
                <c:pt idx="287">
                  <c:v>122</c:v>
                </c:pt>
                <c:pt idx="288">
                  <c:v>122</c:v>
                </c:pt>
                <c:pt idx="289">
                  <c:v>122</c:v>
                </c:pt>
                <c:pt idx="290">
                  <c:v>122</c:v>
                </c:pt>
                <c:pt idx="291">
                  <c:v>122</c:v>
                </c:pt>
                <c:pt idx="292">
                  <c:v>122</c:v>
                </c:pt>
                <c:pt idx="293">
                  <c:v>122</c:v>
                </c:pt>
                <c:pt idx="294">
                  <c:v>122</c:v>
                </c:pt>
                <c:pt idx="295">
                  <c:v>122</c:v>
                </c:pt>
                <c:pt idx="296">
                  <c:v>122</c:v>
                </c:pt>
                <c:pt idx="297">
                  <c:v>122</c:v>
                </c:pt>
                <c:pt idx="298">
                  <c:v>122</c:v>
                </c:pt>
                <c:pt idx="299">
                  <c:v>122</c:v>
                </c:pt>
                <c:pt idx="300">
                  <c:v>122</c:v>
                </c:pt>
                <c:pt idx="301">
                  <c:v>122</c:v>
                </c:pt>
                <c:pt idx="302">
                  <c:v>122</c:v>
                </c:pt>
                <c:pt idx="303">
                  <c:v>122</c:v>
                </c:pt>
                <c:pt idx="304">
                  <c:v>122</c:v>
                </c:pt>
                <c:pt idx="305">
                  <c:v>122</c:v>
                </c:pt>
                <c:pt idx="306">
                  <c:v>122</c:v>
                </c:pt>
                <c:pt idx="307">
                  <c:v>122</c:v>
                </c:pt>
                <c:pt idx="308">
                  <c:v>122</c:v>
                </c:pt>
                <c:pt idx="309">
                  <c:v>122</c:v>
                </c:pt>
                <c:pt idx="310">
                  <c:v>122</c:v>
                </c:pt>
                <c:pt idx="311">
                  <c:v>122</c:v>
                </c:pt>
                <c:pt idx="312">
                  <c:v>122</c:v>
                </c:pt>
                <c:pt idx="313">
                  <c:v>122</c:v>
                </c:pt>
                <c:pt idx="314">
                  <c:v>122</c:v>
                </c:pt>
                <c:pt idx="315">
                  <c:v>122</c:v>
                </c:pt>
                <c:pt idx="316">
                  <c:v>122</c:v>
                </c:pt>
                <c:pt idx="317">
                  <c:v>122</c:v>
                </c:pt>
                <c:pt idx="318">
                  <c:v>122</c:v>
                </c:pt>
                <c:pt idx="319">
                  <c:v>122</c:v>
                </c:pt>
                <c:pt idx="320">
                  <c:v>122</c:v>
                </c:pt>
                <c:pt idx="321">
                  <c:v>122</c:v>
                </c:pt>
                <c:pt idx="322">
                  <c:v>122</c:v>
                </c:pt>
                <c:pt idx="323">
                  <c:v>122</c:v>
                </c:pt>
                <c:pt idx="324">
                  <c:v>122</c:v>
                </c:pt>
                <c:pt idx="325">
                  <c:v>122</c:v>
                </c:pt>
                <c:pt idx="326">
                  <c:v>122</c:v>
                </c:pt>
                <c:pt idx="327">
                  <c:v>122</c:v>
                </c:pt>
                <c:pt idx="328">
                  <c:v>122</c:v>
                </c:pt>
                <c:pt idx="329">
                  <c:v>122</c:v>
                </c:pt>
                <c:pt idx="330">
                  <c:v>122</c:v>
                </c:pt>
                <c:pt idx="331">
                  <c:v>122</c:v>
                </c:pt>
                <c:pt idx="332">
                  <c:v>122</c:v>
                </c:pt>
                <c:pt idx="333">
                  <c:v>122</c:v>
                </c:pt>
                <c:pt idx="334">
                  <c:v>122</c:v>
                </c:pt>
                <c:pt idx="335">
                  <c:v>122</c:v>
                </c:pt>
                <c:pt idx="336">
                  <c:v>122</c:v>
                </c:pt>
                <c:pt idx="337">
                  <c:v>122</c:v>
                </c:pt>
                <c:pt idx="338">
                  <c:v>122</c:v>
                </c:pt>
                <c:pt idx="339">
                  <c:v>122</c:v>
                </c:pt>
                <c:pt idx="340">
                  <c:v>122</c:v>
                </c:pt>
                <c:pt idx="341">
                  <c:v>122</c:v>
                </c:pt>
                <c:pt idx="342">
                  <c:v>122</c:v>
                </c:pt>
                <c:pt idx="343">
                  <c:v>122</c:v>
                </c:pt>
                <c:pt idx="344">
                  <c:v>122</c:v>
                </c:pt>
                <c:pt idx="345">
                  <c:v>122</c:v>
                </c:pt>
                <c:pt idx="346">
                  <c:v>122</c:v>
                </c:pt>
                <c:pt idx="347">
                  <c:v>122</c:v>
                </c:pt>
                <c:pt idx="348">
                  <c:v>122</c:v>
                </c:pt>
                <c:pt idx="349">
                  <c:v>122</c:v>
                </c:pt>
                <c:pt idx="350">
                  <c:v>122</c:v>
                </c:pt>
                <c:pt idx="351">
                  <c:v>122</c:v>
                </c:pt>
                <c:pt idx="352">
                  <c:v>122</c:v>
                </c:pt>
                <c:pt idx="353">
                  <c:v>122</c:v>
                </c:pt>
                <c:pt idx="354">
                  <c:v>122</c:v>
                </c:pt>
                <c:pt idx="355">
                  <c:v>122</c:v>
                </c:pt>
                <c:pt idx="356">
                  <c:v>122</c:v>
                </c:pt>
                <c:pt idx="357">
                  <c:v>122</c:v>
                </c:pt>
                <c:pt idx="358">
                  <c:v>122</c:v>
                </c:pt>
                <c:pt idx="359">
                  <c:v>122</c:v>
                </c:pt>
                <c:pt idx="360">
                  <c:v>122</c:v>
                </c:pt>
                <c:pt idx="361">
                  <c:v>122</c:v>
                </c:pt>
                <c:pt idx="362">
                  <c:v>122</c:v>
                </c:pt>
                <c:pt idx="363">
                  <c:v>122</c:v>
                </c:pt>
                <c:pt idx="364">
                  <c:v>122</c:v>
                </c:pt>
                <c:pt idx="365">
                  <c:v>122</c:v>
                </c:pt>
                <c:pt idx="366">
                  <c:v>122</c:v>
                </c:pt>
                <c:pt idx="367">
                  <c:v>122</c:v>
                </c:pt>
                <c:pt idx="368">
                  <c:v>122</c:v>
                </c:pt>
                <c:pt idx="369">
                  <c:v>122</c:v>
                </c:pt>
                <c:pt idx="370">
                  <c:v>122</c:v>
                </c:pt>
                <c:pt idx="371">
                  <c:v>122</c:v>
                </c:pt>
                <c:pt idx="372">
                  <c:v>122</c:v>
                </c:pt>
                <c:pt idx="373">
                  <c:v>122</c:v>
                </c:pt>
                <c:pt idx="374">
                  <c:v>122</c:v>
                </c:pt>
                <c:pt idx="375">
                  <c:v>122</c:v>
                </c:pt>
                <c:pt idx="376">
                  <c:v>122</c:v>
                </c:pt>
                <c:pt idx="377">
                  <c:v>122</c:v>
                </c:pt>
                <c:pt idx="378">
                  <c:v>122</c:v>
                </c:pt>
                <c:pt idx="379">
                  <c:v>122</c:v>
                </c:pt>
                <c:pt idx="380">
                  <c:v>122</c:v>
                </c:pt>
                <c:pt idx="381">
                  <c:v>122</c:v>
                </c:pt>
                <c:pt idx="382">
                  <c:v>122</c:v>
                </c:pt>
                <c:pt idx="383">
                  <c:v>122</c:v>
                </c:pt>
                <c:pt idx="384">
                  <c:v>122</c:v>
                </c:pt>
                <c:pt idx="385">
                  <c:v>122</c:v>
                </c:pt>
                <c:pt idx="386">
                  <c:v>122</c:v>
                </c:pt>
                <c:pt idx="387">
                  <c:v>122</c:v>
                </c:pt>
                <c:pt idx="388">
                  <c:v>122</c:v>
                </c:pt>
                <c:pt idx="389">
                  <c:v>122</c:v>
                </c:pt>
                <c:pt idx="390">
                  <c:v>122</c:v>
                </c:pt>
                <c:pt idx="391">
                  <c:v>122</c:v>
                </c:pt>
                <c:pt idx="392">
                  <c:v>122</c:v>
                </c:pt>
                <c:pt idx="393">
                  <c:v>122</c:v>
                </c:pt>
                <c:pt idx="394">
                  <c:v>122</c:v>
                </c:pt>
                <c:pt idx="395">
                  <c:v>122</c:v>
                </c:pt>
                <c:pt idx="396">
                  <c:v>122</c:v>
                </c:pt>
                <c:pt idx="397">
                  <c:v>122</c:v>
                </c:pt>
                <c:pt idx="398">
                  <c:v>122</c:v>
                </c:pt>
                <c:pt idx="399">
                  <c:v>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C2-433E-ADF9-641C18C1A907}"/>
            </c:ext>
          </c:extLst>
        </c:ser>
        <c:ser>
          <c:idx val="1"/>
          <c:order val="1"/>
          <c:tx>
            <c:v>Cumulative Direct using average</c:v>
          </c:tx>
          <c:spPr>
            <a:ln w="6350"/>
          </c:spPr>
          <c:marker>
            <c:symbol val="none"/>
          </c:marker>
          <c:xVal>
            <c:numRef>
              <c:f>KNNC_ValidationLiftChart!$AZ$4:$AZ$403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KNNC_ValidationLiftChart!$BD$4:$BD$403</c:f>
              <c:numCache>
                <c:formatCode>General</c:formatCode>
                <c:ptCount val="400"/>
                <c:pt idx="0">
                  <c:v>0.30499999999999999</c:v>
                </c:pt>
                <c:pt idx="1">
                  <c:v>0.61</c:v>
                </c:pt>
                <c:pt idx="2">
                  <c:v>0.91500000000000004</c:v>
                </c:pt>
                <c:pt idx="3">
                  <c:v>1.22</c:v>
                </c:pt>
                <c:pt idx="4">
                  <c:v>1.5249999999999999</c:v>
                </c:pt>
                <c:pt idx="5">
                  <c:v>1.83</c:v>
                </c:pt>
                <c:pt idx="6">
                  <c:v>2.1349999999999998</c:v>
                </c:pt>
                <c:pt idx="7">
                  <c:v>2.44</c:v>
                </c:pt>
                <c:pt idx="8">
                  <c:v>2.7450000000000001</c:v>
                </c:pt>
                <c:pt idx="9">
                  <c:v>3.05</c:v>
                </c:pt>
                <c:pt idx="10">
                  <c:v>3.355</c:v>
                </c:pt>
                <c:pt idx="11">
                  <c:v>3.66</c:v>
                </c:pt>
                <c:pt idx="12">
                  <c:v>3.9649999999999999</c:v>
                </c:pt>
                <c:pt idx="13">
                  <c:v>4.2699999999999996</c:v>
                </c:pt>
                <c:pt idx="14">
                  <c:v>4.5750000000000002</c:v>
                </c:pt>
                <c:pt idx="15">
                  <c:v>4.88</c:v>
                </c:pt>
                <c:pt idx="16">
                  <c:v>5.1849999999999996</c:v>
                </c:pt>
                <c:pt idx="17">
                  <c:v>5.49</c:v>
                </c:pt>
                <c:pt idx="18">
                  <c:v>5.7949999999999999</c:v>
                </c:pt>
                <c:pt idx="19">
                  <c:v>6.1</c:v>
                </c:pt>
                <c:pt idx="20">
                  <c:v>6.4050000000000002</c:v>
                </c:pt>
                <c:pt idx="21">
                  <c:v>6.71</c:v>
                </c:pt>
                <c:pt idx="22">
                  <c:v>7.0149999999999997</c:v>
                </c:pt>
                <c:pt idx="23">
                  <c:v>7.32</c:v>
                </c:pt>
                <c:pt idx="24">
                  <c:v>7.625</c:v>
                </c:pt>
                <c:pt idx="25">
                  <c:v>7.93</c:v>
                </c:pt>
                <c:pt idx="26">
                  <c:v>8.2349999999999994</c:v>
                </c:pt>
                <c:pt idx="27">
                  <c:v>8.5399999999999991</c:v>
                </c:pt>
                <c:pt idx="28">
                  <c:v>8.8450000000000006</c:v>
                </c:pt>
                <c:pt idx="29">
                  <c:v>9.15</c:v>
                </c:pt>
                <c:pt idx="30">
                  <c:v>9.4550000000000001</c:v>
                </c:pt>
                <c:pt idx="31">
                  <c:v>9.76</c:v>
                </c:pt>
                <c:pt idx="32">
                  <c:v>10.065</c:v>
                </c:pt>
                <c:pt idx="33">
                  <c:v>10.37</c:v>
                </c:pt>
                <c:pt idx="34">
                  <c:v>10.674999999999999</c:v>
                </c:pt>
                <c:pt idx="35">
                  <c:v>10.98</c:v>
                </c:pt>
                <c:pt idx="36">
                  <c:v>11.285</c:v>
                </c:pt>
                <c:pt idx="37">
                  <c:v>11.59</c:v>
                </c:pt>
                <c:pt idx="38">
                  <c:v>11.895</c:v>
                </c:pt>
                <c:pt idx="39">
                  <c:v>12.2</c:v>
                </c:pt>
                <c:pt idx="40">
                  <c:v>12.504999999999999</c:v>
                </c:pt>
                <c:pt idx="41">
                  <c:v>12.81</c:v>
                </c:pt>
                <c:pt idx="42">
                  <c:v>13.115</c:v>
                </c:pt>
                <c:pt idx="43">
                  <c:v>13.42</c:v>
                </c:pt>
                <c:pt idx="44">
                  <c:v>13.725</c:v>
                </c:pt>
                <c:pt idx="45">
                  <c:v>14.03</c:v>
                </c:pt>
                <c:pt idx="46">
                  <c:v>14.334999999999999</c:v>
                </c:pt>
                <c:pt idx="47">
                  <c:v>14.64</c:v>
                </c:pt>
                <c:pt idx="48">
                  <c:v>14.945</c:v>
                </c:pt>
                <c:pt idx="49">
                  <c:v>15.25</c:v>
                </c:pt>
                <c:pt idx="50">
                  <c:v>15.555</c:v>
                </c:pt>
                <c:pt idx="51">
                  <c:v>15.86</c:v>
                </c:pt>
                <c:pt idx="52">
                  <c:v>16.164999999999999</c:v>
                </c:pt>
                <c:pt idx="53">
                  <c:v>16.47</c:v>
                </c:pt>
                <c:pt idx="54">
                  <c:v>16.774999999999999</c:v>
                </c:pt>
                <c:pt idx="55">
                  <c:v>17.079999999999998</c:v>
                </c:pt>
                <c:pt idx="56">
                  <c:v>17.384999999999998</c:v>
                </c:pt>
                <c:pt idx="57">
                  <c:v>17.690000000000001</c:v>
                </c:pt>
                <c:pt idx="58">
                  <c:v>17.995000000000001</c:v>
                </c:pt>
                <c:pt idx="59">
                  <c:v>18.3</c:v>
                </c:pt>
                <c:pt idx="60">
                  <c:v>18.605</c:v>
                </c:pt>
                <c:pt idx="61">
                  <c:v>18.91</c:v>
                </c:pt>
                <c:pt idx="62">
                  <c:v>19.215</c:v>
                </c:pt>
                <c:pt idx="63">
                  <c:v>19.52</c:v>
                </c:pt>
                <c:pt idx="64">
                  <c:v>19.824999999999999</c:v>
                </c:pt>
                <c:pt idx="65">
                  <c:v>20.13</c:v>
                </c:pt>
                <c:pt idx="66">
                  <c:v>20.434999999999999</c:v>
                </c:pt>
                <c:pt idx="67">
                  <c:v>20.74</c:v>
                </c:pt>
                <c:pt idx="68">
                  <c:v>21.044999999999998</c:v>
                </c:pt>
                <c:pt idx="69">
                  <c:v>21.349999999999998</c:v>
                </c:pt>
                <c:pt idx="70">
                  <c:v>21.655000000000001</c:v>
                </c:pt>
                <c:pt idx="71">
                  <c:v>21.96</c:v>
                </c:pt>
                <c:pt idx="72">
                  <c:v>22.265000000000001</c:v>
                </c:pt>
                <c:pt idx="73">
                  <c:v>22.57</c:v>
                </c:pt>
                <c:pt idx="74">
                  <c:v>22.875</c:v>
                </c:pt>
                <c:pt idx="75">
                  <c:v>23.18</c:v>
                </c:pt>
                <c:pt idx="76">
                  <c:v>23.484999999999999</c:v>
                </c:pt>
                <c:pt idx="77">
                  <c:v>23.79</c:v>
                </c:pt>
                <c:pt idx="78">
                  <c:v>24.094999999999999</c:v>
                </c:pt>
                <c:pt idx="79">
                  <c:v>24.4</c:v>
                </c:pt>
                <c:pt idx="80">
                  <c:v>24.704999999999998</c:v>
                </c:pt>
                <c:pt idx="81">
                  <c:v>25.009999999999998</c:v>
                </c:pt>
                <c:pt idx="82">
                  <c:v>25.314999999999998</c:v>
                </c:pt>
                <c:pt idx="83">
                  <c:v>25.62</c:v>
                </c:pt>
                <c:pt idx="84">
                  <c:v>25.925000000000001</c:v>
                </c:pt>
                <c:pt idx="85">
                  <c:v>26.23</c:v>
                </c:pt>
                <c:pt idx="86">
                  <c:v>26.535</c:v>
                </c:pt>
                <c:pt idx="87">
                  <c:v>26.84</c:v>
                </c:pt>
                <c:pt idx="88">
                  <c:v>27.145</c:v>
                </c:pt>
                <c:pt idx="89">
                  <c:v>27.45</c:v>
                </c:pt>
                <c:pt idx="90">
                  <c:v>27.754999999999999</c:v>
                </c:pt>
                <c:pt idx="91">
                  <c:v>28.06</c:v>
                </c:pt>
                <c:pt idx="92">
                  <c:v>28.364999999999998</c:v>
                </c:pt>
                <c:pt idx="93">
                  <c:v>28.669999999999998</c:v>
                </c:pt>
                <c:pt idx="94">
                  <c:v>28.974999999999998</c:v>
                </c:pt>
                <c:pt idx="95">
                  <c:v>29.28</c:v>
                </c:pt>
                <c:pt idx="96">
                  <c:v>29.585000000000001</c:v>
                </c:pt>
                <c:pt idx="97">
                  <c:v>29.89</c:v>
                </c:pt>
                <c:pt idx="98">
                  <c:v>30.195</c:v>
                </c:pt>
                <c:pt idx="99">
                  <c:v>30.5</c:v>
                </c:pt>
                <c:pt idx="100">
                  <c:v>30.805</c:v>
                </c:pt>
                <c:pt idx="101">
                  <c:v>31.11</c:v>
                </c:pt>
                <c:pt idx="102">
                  <c:v>31.414999999999999</c:v>
                </c:pt>
                <c:pt idx="103">
                  <c:v>31.72</c:v>
                </c:pt>
                <c:pt idx="104">
                  <c:v>32.024999999999999</c:v>
                </c:pt>
                <c:pt idx="105">
                  <c:v>32.33</c:v>
                </c:pt>
                <c:pt idx="106">
                  <c:v>32.634999999999998</c:v>
                </c:pt>
                <c:pt idx="107">
                  <c:v>32.94</c:v>
                </c:pt>
                <c:pt idx="108">
                  <c:v>33.244999999999997</c:v>
                </c:pt>
                <c:pt idx="109">
                  <c:v>33.549999999999997</c:v>
                </c:pt>
                <c:pt idx="110">
                  <c:v>33.854999999999997</c:v>
                </c:pt>
                <c:pt idx="111">
                  <c:v>34.159999999999997</c:v>
                </c:pt>
                <c:pt idx="112">
                  <c:v>34.464999999999996</c:v>
                </c:pt>
                <c:pt idx="113">
                  <c:v>34.769999999999996</c:v>
                </c:pt>
                <c:pt idx="114">
                  <c:v>35.074999999999996</c:v>
                </c:pt>
                <c:pt idx="115">
                  <c:v>35.380000000000003</c:v>
                </c:pt>
                <c:pt idx="116">
                  <c:v>35.685000000000002</c:v>
                </c:pt>
                <c:pt idx="117">
                  <c:v>35.99</c:v>
                </c:pt>
                <c:pt idx="118">
                  <c:v>36.295000000000002</c:v>
                </c:pt>
                <c:pt idx="119">
                  <c:v>36.6</c:v>
                </c:pt>
                <c:pt idx="120">
                  <c:v>36.905000000000001</c:v>
                </c:pt>
                <c:pt idx="121">
                  <c:v>37.21</c:v>
                </c:pt>
                <c:pt idx="122">
                  <c:v>37.515000000000001</c:v>
                </c:pt>
                <c:pt idx="123">
                  <c:v>37.82</c:v>
                </c:pt>
                <c:pt idx="124">
                  <c:v>38.125</c:v>
                </c:pt>
                <c:pt idx="125">
                  <c:v>38.43</c:v>
                </c:pt>
                <c:pt idx="126">
                  <c:v>38.734999999999999</c:v>
                </c:pt>
                <c:pt idx="127">
                  <c:v>39.04</c:v>
                </c:pt>
                <c:pt idx="128">
                  <c:v>39.344999999999999</c:v>
                </c:pt>
                <c:pt idx="129">
                  <c:v>39.65</c:v>
                </c:pt>
                <c:pt idx="130">
                  <c:v>39.954999999999998</c:v>
                </c:pt>
                <c:pt idx="131">
                  <c:v>40.26</c:v>
                </c:pt>
                <c:pt idx="132">
                  <c:v>40.564999999999998</c:v>
                </c:pt>
                <c:pt idx="133">
                  <c:v>40.869999999999997</c:v>
                </c:pt>
                <c:pt idx="134">
                  <c:v>41.174999999999997</c:v>
                </c:pt>
                <c:pt idx="135">
                  <c:v>41.48</c:v>
                </c:pt>
                <c:pt idx="136">
                  <c:v>41.784999999999997</c:v>
                </c:pt>
                <c:pt idx="137">
                  <c:v>42.089999999999996</c:v>
                </c:pt>
                <c:pt idx="138">
                  <c:v>42.394999999999996</c:v>
                </c:pt>
                <c:pt idx="139">
                  <c:v>42.699999999999996</c:v>
                </c:pt>
                <c:pt idx="140">
                  <c:v>43.005000000000003</c:v>
                </c:pt>
                <c:pt idx="141">
                  <c:v>43.31</c:v>
                </c:pt>
                <c:pt idx="142">
                  <c:v>43.615000000000002</c:v>
                </c:pt>
                <c:pt idx="143">
                  <c:v>43.92</c:v>
                </c:pt>
                <c:pt idx="144">
                  <c:v>44.225000000000001</c:v>
                </c:pt>
                <c:pt idx="145">
                  <c:v>44.53</c:v>
                </c:pt>
                <c:pt idx="146">
                  <c:v>44.835000000000001</c:v>
                </c:pt>
                <c:pt idx="147">
                  <c:v>45.14</c:v>
                </c:pt>
                <c:pt idx="148">
                  <c:v>45.445</c:v>
                </c:pt>
                <c:pt idx="149">
                  <c:v>45.75</c:v>
                </c:pt>
                <c:pt idx="150">
                  <c:v>46.055</c:v>
                </c:pt>
                <c:pt idx="151">
                  <c:v>46.36</c:v>
                </c:pt>
                <c:pt idx="152">
                  <c:v>46.664999999999999</c:v>
                </c:pt>
                <c:pt idx="153">
                  <c:v>46.97</c:v>
                </c:pt>
                <c:pt idx="154">
                  <c:v>47.274999999999999</c:v>
                </c:pt>
                <c:pt idx="155">
                  <c:v>47.58</c:v>
                </c:pt>
                <c:pt idx="156">
                  <c:v>47.884999999999998</c:v>
                </c:pt>
                <c:pt idx="157">
                  <c:v>48.19</c:v>
                </c:pt>
                <c:pt idx="158">
                  <c:v>48.494999999999997</c:v>
                </c:pt>
                <c:pt idx="159">
                  <c:v>48.8</c:v>
                </c:pt>
                <c:pt idx="160">
                  <c:v>49.104999999999997</c:v>
                </c:pt>
                <c:pt idx="161">
                  <c:v>49.41</c:v>
                </c:pt>
                <c:pt idx="162">
                  <c:v>49.714999999999996</c:v>
                </c:pt>
                <c:pt idx="163">
                  <c:v>50.019999999999996</c:v>
                </c:pt>
                <c:pt idx="164">
                  <c:v>50.324999999999996</c:v>
                </c:pt>
                <c:pt idx="165">
                  <c:v>50.629999999999995</c:v>
                </c:pt>
                <c:pt idx="166">
                  <c:v>50.935000000000002</c:v>
                </c:pt>
                <c:pt idx="167">
                  <c:v>51.24</c:v>
                </c:pt>
                <c:pt idx="168">
                  <c:v>51.545000000000002</c:v>
                </c:pt>
                <c:pt idx="169">
                  <c:v>51.85</c:v>
                </c:pt>
                <c:pt idx="170">
                  <c:v>52.155000000000001</c:v>
                </c:pt>
                <c:pt idx="171">
                  <c:v>52.46</c:v>
                </c:pt>
                <c:pt idx="172">
                  <c:v>52.765000000000001</c:v>
                </c:pt>
                <c:pt idx="173">
                  <c:v>53.07</c:v>
                </c:pt>
                <c:pt idx="174">
                  <c:v>53.375</c:v>
                </c:pt>
                <c:pt idx="175">
                  <c:v>53.68</c:v>
                </c:pt>
                <c:pt idx="176">
                  <c:v>53.984999999999999</c:v>
                </c:pt>
                <c:pt idx="177">
                  <c:v>54.29</c:v>
                </c:pt>
                <c:pt idx="178">
                  <c:v>54.594999999999999</c:v>
                </c:pt>
                <c:pt idx="179">
                  <c:v>54.9</c:v>
                </c:pt>
                <c:pt idx="180">
                  <c:v>55.204999999999998</c:v>
                </c:pt>
                <c:pt idx="181">
                  <c:v>55.51</c:v>
                </c:pt>
                <c:pt idx="182">
                  <c:v>55.814999999999998</c:v>
                </c:pt>
                <c:pt idx="183">
                  <c:v>56.12</c:v>
                </c:pt>
                <c:pt idx="184">
                  <c:v>56.424999999999997</c:v>
                </c:pt>
                <c:pt idx="185">
                  <c:v>56.73</c:v>
                </c:pt>
                <c:pt idx="186">
                  <c:v>57.034999999999997</c:v>
                </c:pt>
                <c:pt idx="187">
                  <c:v>57.339999999999996</c:v>
                </c:pt>
                <c:pt idx="188">
                  <c:v>57.644999999999996</c:v>
                </c:pt>
                <c:pt idx="189">
                  <c:v>57.949999999999996</c:v>
                </c:pt>
                <c:pt idx="190">
                  <c:v>58.254999999999995</c:v>
                </c:pt>
                <c:pt idx="191">
                  <c:v>58.56</c:v>
                </c:pt>
                <c:pt idx="192">
                  <c:v>58.865000000000002</c:v>
                </c:pt>
                <c:pt idx="193">
                  <c:v>59.17</c:v>
                </c:pt>
                <c:pt idx="194">
                  <c:v>59.475000000000001</c:v>
                </c:pt>
                <c:pt idx="195">
                  <c:v>59.78</c:v>
                </c:pt>
                <c:pt idx="196">
                  <c:v>60.085000000000001</c:v>
                </c:pt>
                <c:pt idx="197">
                  <c:v>60.39</c:v>
                </c:pt>
                <c:pt idx="198">
                  <c:v>60.695</c:v>
                </c:pt>
                <c:pt idx="199">
                  <c:v>61</c:v>
                </c:pt>
                <c:pt idx="200">
                  <c:v>61.305</c:v>
                </c:pt>
                <c:pt idx="201">
                  <c:v>61.61</c:v>
                </c:pt>
                <c:pt idx="202">
                  <c:v>61.914999999999999</c:v>
                </c:pt>
                <c:pt idx="203">
                  <c:v>62.22</c:v>
                </c:pt>
                <c:pt idx="204">
                  <c:v>62.524999999999999</c:v>
                </c:pt>
                <c:pt idx="205">
                  <c:v>62.83</c:v>
                </c:pt>
                <c:pt idx="206">
                  <c:v>63.134999999999998</c:v>
                </c:pt>
                <c:pt idx="207">
                  <c:v>63.44</c:v>
                </c:pt>
                <c:pt idx="208">
                  <c:v>63.744999999999997</c:v>
                </c:pt>
                <c:pt idx="209">
                  <c:v>64.05</c:v>
                </c:pt>
                <c:pt idx="210">
                  <c:v>64.355000000000004</c:v>
                </c:pt>
                <c:pt idx="211">
                  <c:v>64.66</c:v>
                </c:pt>
                <c:pt idx="212">
                  <c:v>64.965000000000003</c:v>
                </c:pt>
                <c:pt idx="213">
                  <c:v>65.27</c:v>
                </c:pt>
                <c:pt idx="214">
                  <c:v>65.575000000000003</c:v>
                </c:pt>
                <c:pt idx="215">
                  <c:v>65.88</c:v>
                </c:pt>
                <c:pt idx="216">
                  <c:v>66.185000000000002</c:v>
                </c:pt>
                <c:pt idx="217">
                  <c:v>66.489999999999995</c:v>
                </c:pt>
                <c:pt idx="218">
                  <c:v>66.795000000000002</c:v>
                </c:pt>
                <c:pt idx="219">
                  <c:v>67.099999999999994</c:v>
                </c:pt>
                <c:pt idx="220">
                  <c:v>67.405000000000001</c:v>
                </c:pt>
                <c:pt idx="221">
                  <c:v>67.709999999999994</c:v>
                </c:pt>
                <c:pt idx="222">
                  <c:v>68.015000000000001</c:v>
                </c:pt>
                <c:pt idx="223">
                  <c:v>68.319999999999993</c:v>
                </c:pt>
                <c:pt idx="224">
                  <c:v>68.625</c:v>
                </c:pt>
                <c:pt idx="225">
                  <c:v>68.929999999999993</c:v>
                </c:pt>
                <c:pt idx="226">
                  <c:v>69.234999999999999</c:v>
                </c:pt>
                <c:pt idx="227">
                  <c:v>69.539999999999992</c:v>
                </c:pt>
                <c:pt idx="228">
                  <c:v>69.844999999999999</c:v>
                </c:pt>
                <c:pt idx="229">
                  <c:v>70.149999999999991</c:v>
                </c:pt>
                <c:pt idx="230">
                  <c:v>70.454999999999998</c:v>
                </c:pt>
                <c:pt idx="231">
                  <c:v>70.760000000000005</c:v>
                </c:pt>
                <c:pt idx="232">
                  <c:v>71.064999999999998</c:v>
                </c:pt>
                <c:pt idx="233">
                  <c:v>71.37</c:v>
                </c:pt>
                <c:pt idx="234">
                  <c:v>71.674999999999997</c:v>
                </c:pt>
                <c:pt idx="235">
                  <c:v>71.98</c:v>
                </c:pt>
                <c:pt idx="236">
                  <c:v>72.284999999999997</c:v>
                </c:pt>
                <c:pt idx="237">
                  <c:v>72.59</c:v>
                </c:pt>
                <c:pt idx="238">
                  <c:v>72.894999999999996</c:v>
                </c:pt>
                <c:pt idx="239">
                  <c:v>73.2</c:v>
                </c:pt>
                <c:pt idx="240">
                  <c:v>73.504999999999995</c:v>
                </c:pt>
                <c:pt idx="241">
                  <c:v>73.81</c:v>
                </c:pt>
                <c:pt idx="242">
                  <c:v>74.114999999999995</c:v>
                </c:pt>
                <c:pt idx="243">
                  <c:v>74.42</c:v>
                </c:pt>
                <c:pt idx="244">
                  <c:v>74.724999999999994</c:v>
                </c:pt>
                <c:pt idx="245">
                  <c:v>75.03</c:v>
                </c:pt>
                <c:pt idx="246">
                  <c:v>75.334999999999994</c:v>
                </c:pt>
                <c:pt idx="247">
                  <c:v>75.64</c:v>
                </c:pt>
                <c:pt idx="248">
                  <c:v>75.944999999999993</c:v>
                </c:pt>
                <c:pt idx="249">
                  <c:v>76.25</c:v>
                </c:pt>
                <c:pt idx="250">
                  <c:v>76.554999999999993</c:v>
                </c:pt>
                <c:pt idx="251">
                  <c:v>76.86</c:v>
                </c:pt>
                <c:pt idx="252">
                  <c:v>77.164999999999992</c:v>
                </c:pt>
                <c:pt idx="253">
                  <c:v>77.47</c:v>
                </c:pt>
                <c:pt idx="254">
                  <c:v>77.774999999999991</c:v>
                </c:pt>
                <c:pt idx="255">
                  <c:v>78.08</c:v>
                </c:pt>
                <c:pt idx="256">
                  <c:v>78.385000000000005</c:v>
                </c:pt>
                <c:pt idx="257">
                  <c:v>78.69</c:v>
                </c:pt>
                <c:pt idx="258">
                  <c:v>78.995000000000005</c:v>
                </c:pt>
                <c:pt idx="259">
                  <c:v>79.3</c:v>
                </c:pt>
                <c:pt idx="260">
                  <c:v>79.605000000000004</c:v>
                </c:pt>
                <c:pt idx="261">
                  <c:v>79.91</c:v>
                </c:pt>
                <c:pt idx="262">
                  <c:v>80.215000000000003</c:v>
                </c:pt>
                <c:pt idx="263">
                  <c:v>80.52</c:v>
                </c:pt>
                <c:pt idx="264">
                  <c:v>80.825000000000003</c:v>
                </c:pt>
                <c:pt idx="265">
                  <c:v>81.13</c:v>
                </c:pt>
                <c:pt idx="266">
                  <c:v>81.435000000000002</c:v>
                </c:pt>
                <c:pt idx="267">
                  <c:v>81.739999999999995</c:v>
                </c:pt>
                <c:pt idx="268">
                  <c:v>82.045000000000002</c:v>
                </c:pt>
                <c:pt idx="269">
                  <c:v>82.35</c:v>
                </c:pt>
                <c:pt idx="270">
                  <c:v>82.655000000000001</c:v>
                </c:pt>
                <c:pt idx="271">
                  <c:v>82.96</c:v>
                </c:pt>
                <c:pt idx="272">
                  <c:v>83.265000000000001</c:v>
                </c:pt>
                <c:pt idx="273">
                  <c:v>83.57</c:v>
                </c:pt>
                <c:pt idx="274">
                  <c:v>83.875</c:v>
                </c:pt>
                <c:pt idx="275">
                  <c:v>84.179999999999993</c:v>
                </c:pt>
                <c:pt idx="276">
                  <c:v>84.484999999999999</c:v>
                </c:pt>
                <c:pt idx="277">
                  <c:v>84.789999999999992</c:v>
                </c:pt>
                <c:pt idx="278">
                  <c:v>85.094999999999999</c:v>
                </c:pt>
                <c:pt idx="279">
                  <c:v>85.399999999999991</c:v>
                </c:pt>
                <c:pt idx="280">
                  <c:v>85.704999999999998</c:v>
                </c:pt>
                <c:pt idx="281">
                  <c:v>86.01</c:v>
                </c:pt>
                <c:pt idx="282">
                  <c:v>86.314999999999998</c:v>
                </c:pt>
                <c:pt idx="283">
                  <c:v>86.62</c:v>
                </c:pt>
                <c:pt idx="284">
                  <c:v>86.924999999999997</c:v>
                </c:pt>
                <c:pt idx="285">
                  <c:v>87.23</c:v>
                </c:pt>
                <c:pt idx="286">
                  <c:v>87.534999999999997</c:v>
                </c:pt>
                <c:pt idx="287">
                  <c:v>87.84</c:v>
                </c:pt>
                <c:pt idx="288">
                  <c:v>88.144999999999996</c:v>
                </c:pt>
                <c:pt idx="289">
                  <c:v>88.45</c:v>
                </c:pt>
                <c:pt idx="290">
                  <c:v>88.754999999999995</c:v>
                </c:pt>
                <c:pt idx="291">
                  <c:v>89.06</c:v>
                </c:pt>
                <c:pt idx="292">
                  <c:v>89.364999999999995</c:v>
                </c:pt>
                <c:pt idx="293">
                  <c:v>89.67</c:v>
                </c:pt>
                <c:pt idx="294">
                  <c:v>89.974999999999994</c:v>
                </c:pt>
                <c:pt idx="295">
                  <c:v>90.28</c:v>
                </c:pt>
                <c:pt idx="296">
                  <c:v>90.584999999999994</c:v>
                </c:pt>
                <c:pt idx="297">
                  <c:v>90.89</c:v>
                </c:pt>
                <c:pt idx="298">
                  <c:v>91.194999999999993</c:v>
                </c:pt>
                <c:pt idx="299">
                  <c:v>91.5</c:v>
                </c:pt>
                <c:pt idx="300">
                  <c:v>91.804999999999993</c:v>
                </c:pt>
                <c:pt idx="301">
                  <c:v>92.11</c:v>
                </c:pt>
                <c:pt idx="302">
                  <c:v>92.414999999999992</c:v>
                </c:pt>
                <c:pt idx="303">
                  <c:v>92.72</c:v>
                </c:pt>
                <c:pt idx="304">
                  <c:v>93.024999999999991</c:v>
                </c:pt>
                <c:pt idx="305">
                  <c:v>93.33</c:v>
                </c:pt>
                <c:pt idx="306">
                  <c:v>93.634999999999991</c:v>
                </c:pt>
                <c:pt idx="307">
                  <c:v>93.94</c:v>
                </c:pt>
                <c:pt idx="308">
                  <c:v>94.245000000000005</c:v>
                </c:pt>
                <c:pt idx="309">
                  <c:v>94.55</c:v>
                </c:pt>
                <c:pt idx="310">
                  <c:v>94.855000000000004</c:v>
                </c:pt>
                <c:pt idx="311">
                  <c:v>95.16</c:v>
                </c:pt>
                <c:pt idx="312">
                  <c:v>95.465000000000003</c:v>
                </c:pt>
                <c:pt idx="313">
                  <c:v>95.77</c:v>
                </c:pt>
                <c:pt idx="314">
                  <c:v>96.075000000000003</c:v>
                </c:pt>
                <c:pt idx="315">
                  <c:v>96.38</c:v>
                </c:pt>
                <c:pt idx="316">
                  <c:v>96.685000000000002</c:v>
                </c:pt>
                <c:pt idx="317">
                  <c:v>96.99</c:v>
                </c:pt>
                <c:pt idx="318">
                  <c:v>97.295000000000002</c:v>
                </c:pt>
                <c:pt idx="319">
                  <c:v>97.6</c:v>
                </c:pt>
                <c:pt idx="320">
                  <c:v>97.905000000000001</c:v>
                </c:pt>
                <c:pt idx="321">
                  <c:v>98.21</c:v>
                </c:pt>
                <c:pt idx="322">
                  <c:v>98.515000000000001</c:v>
                </c:pt>
                <c:pt idx="323">
                  <c:v>98.82</c:v>
                </c:pt>
                <c:pt idx="324">
                  <c:v>99.125</c:v>
                </c:pt>
                <c:pt idx="325">
                  <c:v>99.429999999999993</c:v>
                </c:pt>
                <c:pt idx="326">
                  <c:v>99.734999999999999</c:v>
                </c:pt>
                <c:pt idx="327">
                  <c:v>100.03999999999999</c:v>
                </c:pt>
                <c:pt idx="328">
                  <c:v>100.345</c:v>
                </c:pt>
                <c:pt idx="329">
                  <c:v>100.64999999999999</c:v>
                </c:pt>
                <c:pt idx="330">
                  <c:v>100.955</c:v>
                </c:pt>
                <c:pt idx="331">
                  <c:v>101.25999999999999</c:v>
                </c:pt>
                <c:pt idx="332">
                  <c:v>101.565</c:v>
                </c:pt>
                <c:pt idx="333">
                  <c:v>101.87</c:v>
                </c:pt>
                <c:pt idx="334">
                  <c:v>102.175</c:v>
                </c:pt>
                <c:pt idx="335">
                  <c:v>102.48</c:v>
                </c:pt>
                <c:pt idx="336">
                  <c:v>102.785</c:v>
                </c:pt>
                <c:pt idx="337">
                  <c:v>103.09</c:v>
                </c:pt>
                <c:pt idx="338">
                  <c:v>103.395</c:v>
                </c:pt>
                <c:pt idx="339">
                  <c:v>103.7</c:v>
                </c:pt>
                <c:pt idx="340">
                  <c:v>104.005</c:v>
                </c:pt>
                <c:pt idx="341">
                  <c:v>104.31</c:v>
                </c:pt>
                <c:pt idx="342">
                  <c:v>104.61499999999999</c:v>
                </c:pt>
                <c:pt idx="343">
                  <c:v>104.92</c:v>
                </c:pt>
                <c:pt idx="344">
                  <c:v>105.22499999999999</c:v>
                </c:pt>
                <c:pt idx="345">
                  <c:v>105.53</c:v>
                </c:pt>
                <c:pt idx="346">
                  <c:v>105.83499999999999</c:v>
                </c:pt>
                <c:pt idx="347">
                  <c:v>106.14</c:v>
                </c:pt>
                <c:pt idx="348">
                  <c:v>106.44499999999999</c:v>
                </c:pt>
                <c:pt idx="349">
                  <c:v>106.75</c:v>
                </c:pt>
                <c:pt idx="350">
                  <c:v>107.05499999999999</c:v>
                </c:pt>
                <c:pt idx="351">
                  <c:v>107.36</c:v>
                </c:pt>
                <c:pt idx="352">
                  <c:v>107.66499999999999</c:v>
                </c:pt>
                <c:pt idx="353">
                  <c:v>107.97</c:v>
                </c:pt>
                <c:pt idx="354">
                  <c:v>108.27499999999999</c:v>
                </c:pt>
                <c:pt idx="355">
                  <c:v>108.58</c:v>
                </c:pt>
                <c:pt idx="356">
                  <c:v>108.88499999999999</c:v>
                </c:pt>
                <c:pt idx="357">
                  <c:v>109.19</c:v>
                </c:pt>
                <c:pt idx="358">
                  <c:v>109.495</c:v>
                </c:pt>
                <c:pt idx="359">
                  <c:v>109.8</c:v>
                </c:pt>
                <c:pt idx="360">
                  <c:v>110.105</c:v>
                </c:pt>
                <c:pt idx="361">
                  <c:v>110.41</c:v>
                </c:pt>
                <c:pt idx="362">
                  <c:v>110.715</c:v>
                </c:pt>
                <c:pt idx="363">
                  <c:v>111.02</c:v>
                </c:pt>
                <c:pt idx="364">
                  <c:v>111.325</c:v>
                </c:pt>
                <c:pt idx="365">
                  <c:v>111.63</c:v>
                </c:pt>
                <c:pt idx="366">
                  <c:v>111.935</c:v>
                </c:pt>
                <c:pt idx="367">
                  <c:v>112.24</c:v>
                </c:pt>
                <c:pt idx="368">
                  <c:v>112.545</c:v>
                </c:pt>
                <c:pt idx="369">
                  <c:v>112.85</c:v>
                </c:pt>
                <c:pt idx="370">
                  <c:v>113.155</c:v>
                </c:pt>
                <c:pt idx="371">
                  <c:v>113.46</c:v>
                </c:pt>
                <c:pt idx="372">
                  <c:v>113.765</c:v>
                </c:pt>
                <c:pt idx="373">
                  <c:v>114.07</c:v>
                </c:pt>
                <c:pt idx="374">
                  <c:v>114.375</c:v>
                </c:pt>
                <c:pt idx="375">
                  <c:v>114.67999999999999</c:v>
                </c:pt>
                <c:pt idx="376">
                  <c:v>114.985</c:v>
                </c:pt>
                <c:pt idx="377">
                  <c:v>115.28999999999999</c:v>
                </c:pt>
                <c:pt idx="378">
                  <c:v>115.595</c:v>
                </c:pt>
                <c:pt idx="379">
                  <c:v>115.89999999999999</c:v>
                </c:pt>
                <c:pt idx="380">
                  <c:v>116.205</c:v>
                </c:pt>
                <c:pt idx="381">
                  <c:v>116.50999999999999</c:v>
                </c:pt>
                <c:pt idx="382">
                  <c:v>116.815</c:v>
                </c:pt>
                <c:pt idx="383">
                  <c:v>117.12</c:v>
                </c:pt>
                <c:pt idx="384">
                  <c:v>117.425</c:v>
                </c:pt>
                <c:pt idx="385">
                  <c:v>117.73</c:v>
                </c:pt>
                <c:pt idx="386">
                  <c:v>118.035</c:v>
                </c:pt>
                <c:pt idx="387">
                  <c:v>118.34</c:v>
                </c:pt>
                <c:pt idx="388">
                  <c:v>118.645</c:v>
                </c:pt>
                <c:pt idx="389">
                  <c:v>118.95</c:v>
                </c:pt>
                <c:pt idx="390">
                  <c:v>119.255</c:v>
                </c:pt>
                <c:pt idx="391">
                  <c:v>119.56</c:v>
                </c:pt>
                <c:pt idx="392">
                  <c:v>119.86499999999999</c:v>
                </c:pt>
                <c:pt idx="393">
                  <c:v>120.17</c:v>
                </c:pt>
                <c:pt idx="394">
                  <c:v>120.47499999999999</c:v>
                </c:pt>
                <c:pt idx="395">
                  <c:v>120.78</c:v>
                </c:pt>
                <c:pt idx="396">
                  <c:v>121.08499999999999</c:v>
                </c:pt>
                <c:pt idx="397">
                  <c:v>121.39</c:v>
                </c:pt>
                <c:pt idx="398">
                  <c:v>121.69499999999999</c:v>
                </c:pt>
                <c:pt idx="399">
                  <c:v>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C2-433E-ADF9-641C18C1A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740832"/>
        <c:axId val="1405741248"/>
      </c:scatterChart>
      <c:valAx>
        <c:axId val="14057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741248"/>
        <c:crosses val="autoZero"/>
        <c:crossBetween val="midCat"/>
      </c:valAx>
      <c:valAx>
        <c:axId val="1405741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7408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KNNC_ValidationLiftChart!$BE$4:$BE$13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KNNC_ValidationLiftChart!$BF$4:$BF$13</c:f>
              <c:numCache>
                <c:formatCode>General</c:formatCode>
                <c:ptCount val="10"/>
                <c:pt idx="0">
                  <c:v>3.1967213114754101</c:v>
                </c:pt>
                <c:pt idx="1">
                  <c:v>3.1147540983606561</c:v>
                </c:pt>
                <c:pt idx="2">
                  <c:v>2.0491803278688527</c:v>
                </c:pt>
                <c:pt idx="3">
                  <c:v>0.90163934426229508</c:v>
                </c:pt>
                <c:pt idx="4">
                  <c:v>0.65573770491803285</c:v>
                </c:pt>
                <c:pt idx="5">
                  <c:v>8.1967213114754106E-2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EC-45A2-9EC5-1D62A882C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5740416"/>
        <c:axId val="1405740832"/>
      </c:barChart>
      <c:catAx>
        <c:axId val="14057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740832"/>
        <c:crosses val="autoZero"/>
        <c:auto val="1"/>
        <c:lblAlgn val="ctr"/>
        <c:lblOffset val="100"/>
        <c:noMultiLvlLbl val="0"/>
      </c:catAx>
      <c:valAx>
        <c:axId val="1405740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74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0.960653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kNN Classifier</c:v>
          </c:tx>
          <c:spPr>
            <a:ln w="6350"/>
          </c:spPr>
          <c:marker>
            <c:symbol val="none"/>
          </c:marker>
          <c:xVal>
            <c:numRef>
              <c:f>KNNC_ValidationLiftChart!$BZ$2:$BZ$19</c:f>
              <c:numCache>
                <c:formatCode>General</c:formatCode>
                <c:ptCount val="18"/>
                <c:pt idx="0">
                  <c:v>0</c:v>
                </c:pt>
                <c:pt idx="1">
                  <c:v>3.5971223021582736E-3</c:v>
                </c:pt>
                <c:pt idx="2">
                  <c:v>7.1942446043165471E-3</c:v>
                </c:pt>
                <c:pt idx="3">
                  <c:v>1.4388489208633094E-2</c:v>
                </c:pt>
                <c:pt idx="4">
                  <c:v>4.6762589928057555E-2</c:v>
                </c:pt>
                <c:pt idx="5">
                  <c:v>4.6762589928057555E-2</c:v>
                </c:pt>
                <c:pt idx="6">
                  <c:v>6.1151079136690649E-2</c:v>
                </c:pt>
                <c:pt idx="7">
                  <c:v>6.83453237410072E-2</c:v>
                </c:pt>
                <c:pt idx="8">
                  <c:v>6.83453237410072E-2</c:v>
                </c:pt>
                <c:pt idx="9">
                  <c:v>8.2733812949640287E-2</c:v>
                </c:pt>
                <c:pt idx="10">
                  <c:v>0.1223021582733813</c:v>
                </c:pt>
                <c:pt idx="11">
                  <c:v>0.12589928057553956</c:v>
                </c:pt>
                <c:pt idx="12">
                  <c:v>0.15467625899280577</c:v>
                </c:pt>
                <c:pt idx="13">
                  <c:v>0.21582733812949639</c:v>
                </c:pt>
                <c:pt idx="14">
                  <c:v>0.24820143884892087</c:v>
                </c:pt>
                <c:pt idx="15">
                  <c:v>0.25899280575539568</c:v>
                </c:pt>
                <c:pt idx="16">
                  <c:v>0.37050359712230213</c:v>
                </c:pt>
                <c:pt idx="17">
                  <c:v>1</c:v>
                </c:pt>
              </c:numCache>
            </c:numRef>
          </c:xVal>
          <c:yVal>
            <c:numRef>
              <c:f>KNNC_ValidationLiftChart!$CA$2:$CA$19</c:f>
              <c:numCache>
                <c:formatCode>General</c:formatCode>
                <c:ptCount val="18"/>
                <c:pt idx="0">
                  <c:v>0</c:v>
                </c:pt>
                <c:pt idx="1">
                  <c:v>0.4344262295081967</c:v>
                </c:pt>
                <c:pt idx="2">
                  <c:v>0.53278688524590168</c:v>
                </c:pt>
                <c:pt idx="3">
                  <c:v>0.65573770491803274</c:v>
                </c:pt>
                <c:pt idx="4">
                  <c:v>0.77049180327868849</c:v>
                </c:pt>
                <c:pt idx="5">
                  <c:v>0.78688524590163933</c:v>
                </c:pt>
                <c:pt idx="6">
                  <c:v>0.82786885245901642</c:v>
                </c:pt>
                <c:pt idx="7">
                  <c:v>0.83606557377049184</c:v>
                </c:pt>
                <c:pt idx="8">
                  <c:v>0.84426229508196726</c:v>
                </c:pt>
                <c:pt idx="9">
                  <c:v>0.84426229508196726</c:v>
                </c:pt>
                <c:pt idx="10">
                  <c:v>0.85245901639344257</c:v>
                </c:pt>
                <c:pt idx="11">
                  <c:v>0.87704918032786883</c:v>
                </c:pt>
                <c:pt idx="12">
                  <c:v>0.90163934426229508</c:v>
                </c:pt>
                <c:pt idx="13">
                  <c:v>0.96721311475409832</c:v>
                </c:pt>
                <c:pt idx="14">
                  <c:v>0.97540983606557374</c:v>
                </c:pt>
                <c:pt idx="15">
                  <c:v>0.97540983606557374</c:v>
                </c:pt>
                <c:pt idx="16">
                  <c:v>1</c:v>
                </c:pt>
                <c:pt idx="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97-4D2E-874C-AC7AAD69682F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KNNC_ValidationLiftChart!$BZ$2:$BZ$19</c:f>
              <c:numCache>
                <c:formatCode>General</c:formatCode>
                <c:ptCount val="18"/>
                <c:pt idx="0">
                  <c:v>0</c:v>
                </c:pt>
                <c:pt idx="1">
                  <c:v>3.5971223021582736E-3</c:v>
                </c:pt>
                <c:pt idx="2">
                  <c:v>7.1942446043165471E-3</c:v>
                </c:pt>
                <c:pt idx="3">
                  <c:v>1.4388489208633094E-2</c:v>
                </c:pt>
                <c:pt idx="4">
                  <c:v>4.6762589928057555E-2</c:v>
                </c:pt>
                <c:pt idx="5">
                  <c:v>4.6762589928057555E-2</c:v>
                </c:pt>
                <c:pt idx="6">
                  <c:v>6.1151079136690649E-2</c:v>
                </c:pt>
                <c:pt idx="7">
                  <c:v>6.83453237410072E-2</c:v>
                </c:pt>
                <c:pt idx="8">
                  <c:v>6.83453237410072E-2</c:v>
                </c:pt>
                <c:pt idx="9">
                  <c:v>8.2733812949640287E-2</c:v>
                </c:pt>
                <c:pt idx="10">
                  <c:v>0.1223021582733813</c:v>
                </c:pt>
                <c:pt idx="11">
                  <c:v>0.12589928057553956</c:v>
                </c:pt>
                <c:pt idx="12">
                  <c:v>0.15467625899280577</c:v>
                </c:pt>
                <c:pt idx="13">
                  <c:v>0.21582733812949639</c:v>
                </c:pt>
                <c:pt idx="14">
                  <c:v>0.24820143884892087</c:v>
                </c:pt>
                <c:pt idx="15">
                  <c:v>0.25899280575539568</c:v>
                </c:pt>
                <c:pt idx="16">
                  <c:v>0.37050359712230213</c:v>
                </c:pt>
                <c:pt idx="17">
                  <c:v>1</c:v>
                </c:pt>
              </c:numCache>
            </c:numRef>
          </c:xVal>
          <c:yVal>
            <c:numRef>
              <c:f>KNNC_ValidationLiftChart!$CB$2:$CB$19</c:f>
              <c:numCache>
                <c:formatCode>General</c:formatCode>
                <c:ptCount val="18"/>
                <c:pt idx="0">
                  <c:v>0</c:v>
                </c:pt>
                <c:pt idx="1">
                  <c:v>3.5971223021582736E-3</c:v>
                </c:pt>
                <c:pt idx="2">
                  <c:v>7.1942446043165471E-3</c:v>
                </c:pt>
                <c:pt idx="3">
                  <c:v>1.4388489208633094E-2</c:v>
                </c:pt>
                <c:pt idx="4">
                  <c:v>4.6762589928057555E-2</c:v>
                </c:pt>
                <c:pt idx="5">
                  <c:v>4.6762589928057555E-2</c:v>
                </c:pt>
                <c:pt idx="6">
                  <c:v>6.1151079136690649E-2</c:v>
                </c:pt>
                <c:pt idx="7">
                  <c:v>6.83453237410072E-2</c:v>
                </c:pt>
                <c:pt idx="8">
                  <c:v>6.83453237410072E-2</c:v>
                </c:pt>
                <c:pt idx="9">
                  <c:v>8.2733812949640287E-2</c:v>
                </c:pt>
                <c:pt idx="10">
                  <c:v>0.1223021582733813</c:v>
                </c:pt>
                <c:pt idx="11">
                  <c:v>0.12589928057553956</c:v>
                </c:pt>
                <c:pt idx="12">
                  <c:v>0.15467625899280577</c:v>
                </c:pt>
                <c:pt idx="13">
                  <c:v>0.21582733812949639</c:v>
                </c:pt>
                <c:pt idx="14">
                  <c:v>0.24820143884892087</c:v>
                </c:pt>
                <c:pt idx="15">
                  <c:v>0.25899280575539568</c:v>
                </c:pt>
                <c:pt idx="16">
                  <c:v>0.37050359712230213</c:v>
                </c:pt>
                <c:pt idx="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97-4D2E-874C-AC7AAD696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742080"/>
        <c:axId val="1402082192"/>
      </c:scatterChart>
      <c:valAx>
        <c:axId val="1405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2082192"/>
        <c:crosses val="autoZero"/>
        <c:crossBetween val="midCat"/>
      </c:valAx>
      <c:valAx>
        <c:axId val="1402082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7420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11</xdr:row>
      <xdr:rowOff>161925</xdr:rowOff>
    </xdr:from>
    <xdr:to>
      <xdr:col>6</xdr:col>
      <xdr:colOff>457200</xdr:colOff>
      <xdr:row>27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11</xdr:row>
      <xdr:rowOff>161925</xdr:rowOff>
    </xdr:from>
    <xdr:to>
      <xdr:col>13</xdr:col>
      <xdr:colOff>228600</xdr:colOff>
      <xdr:row>27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31</xdr:row>
      <xdr:rowOff>161925</xdr:rowOff>
    </xdr:from>
    <xdr:to>
      <xdr:col>6</xdr:col>
      <xdr:colOff>457200</xdr:colOff>
      <xdr:row>47</xdr:row>
      <xdr:rowOff>136525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11</xdr:row>
      <xdr:rowOff>161925</xdr:rowOff>
    </xdr:from>
    <xdr:to>
      <xdr:col>6</xdr:col>
      <xdr:colOff>457200</xdr:colOff>
      <xdr:row>27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584200</xdr:colOff>
      <xdr:row>11</xdr:row>
      <xdr:rowOff>161925</xdr:rowOff>
    </xdr:from>
    <xdr:to>
      <xdr:col>13</xdr:col>
      <xdr:colOff>228600</xdr:colOff>
      <xdr:row>27</xdr:row>
      <xdr:rowOff>136525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31</xdr:row>
      <xdr:rowOff>161925</xdr:rowOff>
    </xdr:from>
    <xdr:to>
      <xdr:col>6</xdr:col>
      <xdr:colOff>457200</xdr:colOff>
      <xdr:row>47</xdr:row>
      <xdr:rowOff>136525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1"/>
  <sheetViews>
    <sheetView workbookViewId="0">
      <selection activeCell="B9" sqref="B9"/>
    </sheetView>
  </sheetViews>
  <sheetFormatPr defaultRowHeight="15.75" x14ac:dyDescent="0.25"/>
  <cols>
    <col min="1" max="3" width="9" style="1" customWidth="1"/>
  </cols>
  <sheetData>
    <row r="1" spans="1:3" x14ac:dyDescent="0.25">
      <c r="A1" s="2" t="s">
        <v>1</v>
      </c>
      <c r="B1" s="3" t="s">
        <v>0</v>
      </c>
      <c r="C1" s="2" t="s">
        <v>2</v>
      </c>
    </row>
    <row r="2" spans="1:3" x14ac:dyDescent="0.25">
      <c r="A2" s="1">
        <v>1</v>
      </c>
      <c r="B2" s="4">
        <v>122</v>
      </c>
      <c r="C2" s="1">
        <v>0</v>
      </c>
    </row>
    <row r="3" spans="1:3" x14ac:dyDescent="0.25">
      <c r="A3" s="1">
        <v>2</v>
      </c>
      <c r="B3" s="4">
        <v>156</v>
      </c>
      <c r="C3" s="1">
        <v>0</v>
      </c>
    </row>
    <row r="4" spans="1:3" x14ac:dyDescent="0.25">
      <c r="A4" s="1">
        <v>3</v>
      </c>
      <c r="B4" s="4">
        <v>210</v>
      </c>
      <c r="C4" s="1">
        <v>0</v>
      </c>
    </row>
    <row r="5" spans="1:3" x14ac:dyDescent="0.25">
      <c r="A5" s="1">
        <v>4</v>
      </c>
      <c r="B5" s="4">
        <v>225</v>
      </c>
      <c r="C5" s="1">
        <v>0</v>
      </c>
    </row>
    <row r="6" spans="1:3" x14ac:dyDescent="0.25">
      <c r="A6" s="1">
        <v>5</v>
      </c>
      <c r="B6" s="4">
        <v>289</v>
      </c>
      <c r="C6" s="1">
        <v>0</v>
      </c>
    </row>
    <row r="7" spans="1:3" x14ac:dyDescent="0.25">
      <c r="A7" s="1">
        <v>6</v>
      </c>
      <c r="B7" s="4">
        <v>355</v>
      </c>
      <c r="C7" s="1">
        <v>0</v>
      </c>
    </row>
    <row r="8" spans="1:3" x14ac:dyDescent="0.25">
      <c r="A8" s="1">
        <v>7</v>
      </c>
      <c r="B8" s="4">
        <v>356</v>
      </c>
      <c r="C8" s="1">
        <v>0</v>
      </c>
    </row>
    <row r="9" spans="1:3" x14ac:dyDescent="0.25">
      <c r="A9" s="1">
        <v>8</v>
      </c>
      <c r="B9" s="4">
        <v>365</v>
      </c>
      <c r="C9" s="1">
        <v>1</v>
      </c>
    </row>
    <row r="10" spans="1:3" x14ac:dyDescent="0.25">
      <c r="A10" s="1">
        <v>9</v>
      </c>
      <c r="B10" s="4">
        <v>377</v>
      </c>
      <c r="C10" s="1">
        <v>0</v>
      </c>
    </row>
    <row r="11" spans="1:3" x14ac:dyDescent="0.25">
      <c r="A11" s="1">
        <v>10</v>
      </c>
      <c r="B11" s="4">
        <v>388</v>
      </c>
      <c r="C11" s="1">
        <v>0</v>
      </c>
    </row>
    <row r="12" spans="1:3" x14ac:dyDescent="0.25">
      <c r="A12" s="1">
        <v>11</v>
      </c>
      <c r="B12" s="4">
        <v>398</v>
      </c>
      <c r="C12" s="1">
        <v>0</v>
      </c>
    </row>
    <row r="13" spans="1:3" x14ac:dyDescent="0.25">
      <c r="A13" s="1">
        <v>12</v>
      </c>
      <c r="B13" s="4">
        <v>409</v>
      </c>
      <c r="C13" s="1">
        <v>0</v>
      </c>
    </row>
    <row r="14" spans="1:3" x14ac:dyDescent="0.25">
      <c r="A14" s="1">
        <v>13</v>
      </c>
      <c r="B14" s="4">
        <v>426</v>
      </c>
      <c r="C14" s="1">
        <v>0</v>
      </c>
    </row>
    <row r="15" spans="1:3" x14ac:dyDescent="0.25">
      <c r="A15" s="1">
        <v>14</v>
      </c>
      <c r="B15" s="4">
        <v>457</v>
      </c>
      <c r="C15" s="1">
        <v>0</v>
      </c>
    </row>
    <row r="16" spans="1:3" x14ac:dyDescent="0.25">
      <c r="A16" s="1">
        <v>15</v>
      </c>
      <c r="B16" s="4">
        <v>491</v>
      </c>
      <c r="C16" s="1">
        <v>0</v>
      </c>
    </row>
    <row r="17" spans="1:3" x14ac:dyDescent="0.25">
      <c r="A17" s="1">
        <v>16</v>
      </c>
      <c r="B17" s="4">
        <v>524</v>
      </c>
      <c r="C17" s="1">
        <v>0</v>
      </c>
    </row>
    <row r="18" spans="1:3" x14ac:dyDescent="0.25">
      <c r="A18" s="1">
        <v>17</v>
      </c>
      <c r="B18" s="4">
        <v>554</v>
      </c>
      <c r="C18" s="1">
        <v>0</v>
      </c>
    </row>
    <row r="19" spans="1:3" x14ac:dyDescent="0.25">
      <c r="A19" s="1">
        <v>18</v>
      </c>
      <c r="B19" s="4">
        <v>573</v>
      </c>
      <c r="C19" s="1">
        <v>0</v>
      </c>
    </row>
    <row r="20" spans="1:3" x14ac:dyDescent="0.25">
      <c r="A20" s="1">
        <v>19</v>
      </c>
      <c r="B20" s="4">
        <v>588</v>
      </c>
      <c r="C20" s="1">
        <v>0</v>
      </c>
    </row>
    <row r="21" spans="1:3" x14ac:dyDescent="0.25">
      <c r="A21" s="1">
        <v>20</v>
      </c>
      <c r="B21" s="4">
        <v>617</v>
      </c>
      <c r="C21" s="1">
        <v>0</v>
      </c>
    </row>
    <row r="22" spans="1:3" x14ac:dyDescent="0.25">
      <c r="A22" s="1">
        <v>21</v>
      </c>
      <c r="B22" s="4">
        <v>628</v>
      </c>
      <c r="C22" s="1">
        <v>0</v>
      </c>
    </row>
    <row r="23" spans="1:3" x14ac:dyDescent="0.25">
      <c r="A23" s="1">
        <v>22</v>
      </c>
      <c r="B23" s="4">
        <v>652</v>
      </c>
      <c r="C23" s="1">
        <v>0</v>
      </c>
    </row>
    <row r="24" spans="1:3" x14ac:dyDescent="0.25">
      <c r="A24" s="1">
        <v>23</v>
      </c>
      <c r="B24" s="4">
        <v>670</v>
      </c>
      <c r="C24" s="1">
        <v>0</v>
      </c>
    </row>
    <row r="25" spans="1:3" x14ac:dyDescent="0.25">
      <c r="A25" s="1">
        <v>24</v>
      </c>
      <c r="B25" s="4">
        <v>674</v>
      </c>
      <c r="C25" s="1">
        <v>1</v>
      </c>
    </row>
    <row r="26" spans="1:3" x14ac:dyDescent="0.25">
      <c r="A26" s="1">
        <v>25</v>
      </c>
      <c r="B26" s="4">
        <v>680</v>
      </c>
      <c r="C26" s="1">
        <v>0</v>
      </c>
    </row>
    <row r="27" spans="1:3" x14ac:dyDescent="0.25">
      <c r="A27" s="1">
        <v>26</v>
      </c>
      <c r="B27" s="4">
        <v>685</v>
      </c>
      <c r="C27" s="1">
        <v>1</v>
      </c>
    </row>
    <row r="28" spans="1:3" x14ac:dyDescent="0.25">
      <c r="A28" s="1">
        <v>27</v>
      </c>
      <c r="B28" s="4">
        <v>693</v>
      </c>
      <c r="C28" s="1">
        <v>0</v>
      </c>
    </row>
    <row r="29" spans="1:3" x14ac:dyDescent="0.25">
      <c r="A29" s="1">
        <v>28</v>
      </c>
      <c r="B29" s="4">
        <v>698</v>
      </c>
      <c r="C29" s="1">
        <v>0</v>
      </c>
    </row>
    <row r="30" spans="1:3" x14ac:dyDescent="0.25">
      <c r="A30" s="1">
        <v>29</v>
      </c>
      <c r="B30" s="4">
        <v>726</v>
      </c>
      <c r="C30" s="1">
        <v>1</v>
      </c>
    </row>
    <row r="31" spans="1:3" x14ac:dyDescent="0.25">
      <c r="A31" s="1">
        <v>30</v>
      </c>
      <c r="B31" s="4">
        <v>742</v>
      </c>
      <c r="C31" s="1">
        <v>0</v>
      </c>
    </row>
    <row r="32" spans="1:3" x14ac:dyDescent="0.25">
      <c r="A32" s="1">
        <v>31</v>
      </c>
      <c r="B32" s="4">
        <v>766</v>
      </c>
      <c r="C32" s="1">
        <v>0</v>
      </c>
    </row>
    <row r="33" spans="1:3" x14ac:dyDescent="0.25">
      <c r="A33" s="1">
        <v>32</v>
      </c>
      <c r="B33" s="4">
        <v>776</v>
      </c>
      <c r="C33" s="1">
        <v>0</v>
      </c>
    </row>
    <row r="34" spans="1:3" x14ac:dyDescent="0.25">
      <c r="A34" s="1">
        <v>33</v>
      </c>
      <c r="B34" s="4">
        <v>778</v>
      </c>
      <c r="C34" s="1">
        <v>1</v>
      </c>
    </row>
    <row r="35" spans="1:3" x14ac:dyDescent="0.25">
      <c r="A35" s="1">
        <v>34</v>
      </c>
      <c r="B35" s="4">
        <v>794</v>
      </c>
      <c r="C35" s="1">
        <v>0</v>
      </c>
    </row>
    <row r="36" spans="1:3" x14ac:dyDescent="0.25">
      <c r="A36" s="1">
        <v>35</v>
      </c>
      <c r="B36" s="4">
        <v>810</v>
      </c>
      <c r="C36" s="1">
        <v>1</v>
      </c>
    </row>
    <row r="37" spans="1:3" x14ac:dyDescent="0.25">
      <c r="A37" s="1">
        <v>36</v>
      </c>
      <c r="B37" s="4">
        <v>860</v>
      </c>
      <c r="C37" s="1">
        <v>0</v>
      </c>
    </row>
    <row r="38" spans="1:3" x14ac:dyDescent="0.25">
      <c r="A38" s="1">
        <v>37</v>
      </c>
      <c r="B38" s="4">
        <v>975</v>
      </c>
      <c r="C38" s="1">
        <v>1</v>
      </c>
    </row>
    <row r="39" spans="1:3" x14ac:dyDescent="0.25">
      <c r="A39" s="1">
        <v>38</v>
      </c>
      <c r="B39" s="4">
        <v>979</v>
      </c>
      <c r="C39" s="1">
        <v>0</v>
      </c>
    </row>
    <row r="40" spans="1:3" x14ac:dyDescent="0.25">
      <c r="A40" s="1">
        <v>39</v>
      </c>
      <c r="B40" s="4">
        <v>1011</v>
      </c>
      <c r="C40" s="1">
        <v>1</v>
      </c>
    </row>
    <row r="41" spans="1:3" x14ac:dyDescent="0.25">
      <c r="A41" s="1">
        <v>40</v>
      </c>
      <c r="B41" s="4">
        <v>1015</v>
      </c>
      <c r="C41" s="1">
        <v>0</v>
      </c>
    </row>
    <row r="42" spans="1:3" x14ac:dyDescent="0.25">
      <c r="A42" s="1">
        <v>41</v>
      </c>
      <c r="B42" s="4">
        <v>1019</v>
      </c>
      <c r="C42" s="1">
        <v>1</v>
      </c>
    </row>
    <row r="43" spans="1:3" x14ac:dyDescent="0.25">
      <c r="A43" s="1">
        <v>42</v>
      </c>
      <c r="B43" s="4">
        <v>1037</v>
      </c>
      <c r="C43" s="1">
        <v>1</v>
      </c>
    </row>
    <row r="44" spans="1:3" x14ac:dyDescent="0.25">
      <c r="A44" s="1">
        <v>43</v>
      </c>
      <c r="B44" s="4">
        <v>1092</v>
      </c>
      <c r="C44" s="1">
        <v>0</v>
      </c>
    </row>
    <row r="45" spans="1:3" x14ac:dyDescent="0.25">
      <c r="A45" s="1">
        <v>44</v>
      </c>
      <c r="B45" s="4">
        <v>1135</v>
      </c>
      <c r="C45" s="1">
        <v>1</v>
      </c>
    </row>
    <row r="46" spans="1:3" x14ac:dyDescent="0.25">
      <c r="A46" s="1">
        <v>45</v>
      </c>
      <c r="B46" s="4">
        <v>1169</v>
      </c>
      <c r="C46" s="1">
        <v>0</v>
      </c>
    </row>
    <row r="47" spans="1:3" x14ac:dyDescent="0.25">
      <c r="A47" s="1">
        <v>46</v>
      </c>
      <c r="B47" s="4">
        <v>1443</v>
      </c>
      <c r="C47" s="1">
        <v>1</v>
      </c>
    </row>
    <row r="48" spans="1:3" x14ac:dyDescent="0.25">
      <c r="A48" s="1">
        <v>47</v>
      </c>
      <c r="B48" s="4">
        <v>1507</v>
      </c>
      <c r="C48" s="1">
        <v>1</v>
      </c>
    </row>
    <row r="49" spans="1:3" x14ac:dyDescent="0.25">
      <c r="A49" s="1">
        <v>48</v>
      </c>
      <c r="B49" s="4">
        <v>1845</v>
      </c>
      <c r="C49" s="1">
        <v>1</v>
      </c>
    </row>
    <row r="50" spans="1:3" x14ac:dyDescent="0.25">
      <c r="A50" s="1">
        <v>49</v>
      </c>
      <c r="B50" s="4">
        <v>2498</v>
      </c>
      <c r="C50" s="1">
        <v>0</v>
      </c>
    </row>
    <row r="51" spans="1:3" x14ac:dyDescent="0.25">
      <c r="A51" s="1">
        <v>50</v>
      </c>
      <c r="B51" s="4">
        <v>2605</v>
      </c>
      <c r="C51" s="1">
        <v>1</v>
      </c>
    </row>
    <row r="52" spans="1:3" x14ac:dyDescent="0.25">
      <c r="A52" s="1">
        <v>51</v>
      </c>
      <c r="B52" s="4">
        <v>138</v>
      </c>
      <c r="C52" s="1">
        <v>0</v>
      </c>
    </row>
    <row r="53" spans="1:3" x14ac:dyDescent="0.25">
      <c r="A53" s="1">
        <v>52</v>
      </c>
      <c r="B53" s="4">
        <v>513</v>
      </c>
      <c r="C53" s="1">
        <v>0</v>
      </c>
    </row>
    <row r="54" spans="1:3" x14ac:dyDescent="0.25">
      <c r="A54" s="1">
        <v>53</v>
      </c>
      <c r="B54" s="4">
        <v>258</v>
      </c>
      <c r="C54" s="1">
        <v>0</v>
      </c>
    </row>
    <row r="55" spans="1:3" x14ac:dyDescent="0.25">
      <c r="A55" s="1">
        <v>54</v>
      </c>
      <c r="B55" s="4">
        <v>441</v>
      </c>
      <c r="C55" s="1">
        <v>0</v>
      </c>
    </row>
    <row r="56" spans="1:3" x14ac:dyDescent="0.25">
      <c r="A56" s="1">
        <v>55</v>
      </c>
      <c r="B56" s="4">
        <v>298</v>
      </c>
      <c r="C56" s="1">
        <v>0</v>
      </c>
    </row>
    <row r="57" spans="1:3" x14ac:dyDescent="0.25">
      <c r="A57" s="1">
        <v>56</v>
      </c>
      <c r="B57" s="4">
        <v>793</v>
      </c>
      <c r="C57" s="1">
        <v>1</v>
      </c>
    </row>
    <row r="58" spans="1:3" x14ac:dyDescent="0.25">
      <c r="A58" s="1">
        <v>57</v>
      </c>
      <c r="B58" s="4">
        <v>391</v>
      </c>
      <c r="C58" s="1">
        <v>0</v>
      </c>
    </row>
    <row r="59" spans="1:3" x14ac:dyDescent="0.25">
      <c r="A59" s="1">
        <v>58</v>
      </c>
      <c r="B59" s="4">
        <v>931</v>
      </c>
      <c r="C59" s="1">
        <v>1</v>
      </c>
    </row>
    <row r="60" spans="1:3" x14ac:dyDescent="0.25">
      <c r="A60" s="1">
        <v>59</v>
      </c>
      <c r="B60" s="4">
        <v>506</v>
      </c>
      <c r="C60" s="1">
        <v>0</v>
      </c>
    </row>
    <row r="61" spans="1:3" x14ac:dyDescent="0.25">
      <c r="A61" s="1">
        <v>60</v>
      </c>
      <c r="B61" s="4">
        <v>761</v>
      </c>
      <c r="C61" s="1">
        <v>0</v>
      </c>
    </row>
    <row r="62" spans="1:3" x14ac:dyDescent="0.25">
      <c r="A62" s="1">
        <v>61</v>
      </c>
      <c r="B62" s="4">
        <v>1463</v>
      </c>
      <c r="C62" s="1">
        <v>1</v>
      </c>
    </row>
    <row r="63" spans="1:3" x14ac:dyDescent="0.25">
      <c r="A63" s="1">
        <v>62</v>
      </c>
      <c r="B63" s="4">
        <v>628</v>
      </c>
      <c r="C63" s="1">
        <v>1</v>
      </c>
    </row>
    <row r="64" spans="1:3" x14ac:dyDescent="0.25">
      <c r="A64" s="1">
        <v>63</v>
      </c>
      <c r="B64" s="4">
        <v>484</v>
      </c>
      <c r="C64" s="1">
        <v>0</v>
      </c>
    </row>
    <row r="65" spans="1:3" x14ac:dyDescent="0.25">
      <c r="A65" s="1">
        <v>64</v>
      </c>
      <c r="B65" s="4">
        <v>733</v>
      </c>
      <c r="C65" s="1">
        <v>1</v>
      </c>
    </row>
    <row r="66" spans="1:3" x14ac:dyDescent="0.25">
      <c r="A66" s="1">
        <v>65</v>
      </c>
      <c r="B66" s="4">
        <v>706</v>
      </c>
      <c r="C66" s="1">
        <v>0</v>
      </c>
    </row>
    <row r="67" spans="1:3" x14ac:dyDescent="0.25">
      <c r="A67" s="1">
        <v>66</v>
      </c>
      <c r="B67" s="4">
        <v>289</v>
      </c>
      <c r="C67" s="1">
        <v>0</v>
      </c>
    </row>
    <row r="68" spans="1:3" x14ac:dyDescent="0.25">
      <c r="A68" s="1">
        <v>67</v>
      </c>
      <c r="B68" s="4">
        <v>711</v>
      </c>
      <c r="C68" s="1">
        <v>0</v>
      </c>
    </row>
    <row r="69" spans="1:3" x14ac:dyDescent="0.25">
      <c r="A69" s="1">
        <v>68</v>
      </c>
      <c r="B69" s="4">
        <v>654</v>
      </c>
      <c r="C69" s="1">
        <v>0</v>
      </c>
    </row>
    <row r="70" spans="1:3" x14ac:dyDescent="0.25">
      <c r="A70" s="1">
        <v>69</v>
      </c>
      <c r="B70" s="4">
        <v>941</v>
      </c>
      <c r="C70" s="1">
        <v>0</v>
      </c>
    </row>
    <row r="71" spans="1:3" x14ac:dyDescent="0.25">
      <c r="A71" s="1">
        <v>70</v>
      </c>
      <c r="B71" s="4">
        <v>818</v>
      </c>
      <c r="C71" s="1">
        <v>0</v>
      </c>
    </row>
    <row r="72" spans="1:3" x14ac:dyDescent="0.25">
      <c r="A72" s="1">
        <v>71</v>
      </c>
      <c r="B72" s="4">
        <v>557</v>
      </c>
      <c r="C72" s="1">
        <v>0</v>
      </c>
    </row>
    <row r="73" spans="1:3" x14ac:dyDescent="0.25">
      <c r="A73" s="1">
        <v>72</v>
      </c>
      <c r="B73" s="4">
        <v>642</v>
      </c>
      <c r="C73" s="1">
        <v>0</v>
      </c>
    </row>
    <row r="74" spans="1:3" x14ac:dyDescent="0.25">
      <c r="A74" s="1">
        <v>73</v>
      </c>
      <c r="B74" s="4">
        <v>1033</v>
      </c>
      <c r="C74" s="1">
        <v>1</v>
      </c>
    </row>
    <row r="75" spans="1:3" x14ac:dyDescent="0.25">
      <c r="A75" s="1">
        <v>74</v>
      </c>
      <c r="B75" s="4">
        <v>984</v>
      </c>
      <c r="C75" s="1">
        <v>1</v>
      </c>
    </row>
    <row r="76" spans="1:3" x14ac:dyDescent="0.25">
      <c r="A76" s="1">
        <v>75</v>
      </c>
      <c r="B76" s="4">
        <v>538</v>
      </c>
      <c r="C76" s="1">
        <v>0</v>
      </c>
    </row>
    <row r="77" spans="1:3" x14ac:dyDescent="0.25">
      <c r="A77" s="1">
        <v>76</v>
      </c>
      <c r="B77" s="4">
        <v>415</v>
      </c>
      <c r="C77" s="1">
        <v>0</v>
      </c>
    </row>
    <row r="78" spans="1:3" x14ac:dyDescent="0.25">
      <c r="A78" s="1">
        <v>77</v>
      </c>
      <c r="B78" s="4">
        <v>262</v>
      </c>
      <c r="C78" s="1">
        <v>0</v>
      </c>
    </row>
    <row r="79" spans="1:3" x14ac:dyDescent="0.25">
      <c r="A79" s="1">
        <v>78</v>
      </c>
      <c r="B79" s="4">
        <v>796</v>
      </c>
      <c r="C79" s="1">
        <v>0</v>
      </c>
    </row>
    <row r="80" spans="1:3" x14ac:dyDescent="0.25">
      <c r="A80" s="1">
        <v>79</v>
      </c>
      <c r="B80" s="4">
        <v>1008</v>
      </c>
      <c r="C80" s="1">
        <v>1</v>
      </c>
    </row>
    <row r="81" spans="1:3" x14ac:dyDescent="0.25">
      <c r="A81" s="1">
        <v>80</v>
      </c>
      <c r="B81" s="4">
        <v>561</v>
      </c>
      <c r="C81" s="1">
        <v>0</v>
      </c>
    </row>
    <row r="82" spans="1:3" x14ac:dyDescent="0.25">
      <c r="A82" s="1">
        <v>81</v>
      </c>
      <c r="B82" s="4">
        <v>592</v>
      </c>
      <c r="C82" s="1">
        <v>0</v>
      </c>
    </row>
    <row r="83" spans="1:3" x14ac:dyDescent="0.25">
      <c r="A83" s="1">
        <v>82</v>
      </c>
      <c r="B83" s="4">
        <v>209</v>
      </c>
      <c r="C83" s="1">
        <v>0</v>
      </c>
    </row>
    <row r="84" spans="1:3" x14ac:dyDescent="0.25">
      <c r="A84" s="1">
        <v>83</v>
      </c>
      <c r="B84" s="4">
        <v>813</v>
      </c>
      <c r="C84" s="1">
        <v>0</v>
      </c>
    </row>
    <row r="85" spans="1:3" x14ac:dyDescent="0.25">
      <c r="A85" s="1">
        <v>84</v>
      </c>
      <c r="B85" s="4">
        <v>323</v>
      </c>
      <c r="C85" s="1">
        <v>0</v>
      </c>
    </row>
    <row r="86" spans="1:3" x14ac:dyDescent="0.25">
      <c r="A86" s="1">
        <v>85</v>
      </c>
      <c r="B86" s="4">
        <v>879</v>
      </c>
      <c r="C86" s="1">
        <v>1</v>
      </c>
    </row>
    <row r="87" spans="1:3" x14ac:dyDescent="0.25">
      <c r="A87" s="1">
        <v>86</v>
      </c>
      <c r="B87" s="4">
        <v>483</v>
      </c>
      <c r="C87" s="1">
        <v>0</v>
      </c>
    </row>
    <row r="88" spans="1:3" x14ac:dyDescent="0.25">
      <c r="A88" s="1">
        <v>87</v>
      </c>
      <c r="B88" s="4">
        <v>1553</v>
      </c>
      <c r="C88" s="1">
        <v>1</v>
      </c>
    </row>
    <row r="89" spans="1:3" x14ac:dyDescent="0.25">
      <c r="A89" s="1">
        <v>88</v>
      </c>
      <c r="B89" s="4">
        <v>671</v>
      </c>
      <c r="C89" s="1">
        <v>0</v>
      </c>
    </row>
    <row r="90" spans="1:3" x14ac:dyDescent="0.25">
      <c r="A90" s="1">
        <v>89</v>
      </c>
      <c r="B90" s="4">
        <v>858</v>
      </c>
      <c r="C90" s="1">
        <v>1</v>
      </c>
    </row>
    <row r="91" spans="1:3" x14ac:dyDescent="0.25">
      <c r="A91" s="1">
        <v>90</v>
      </c>
      <c r="B91" s="4">
        <v>486</v>
      </c>
      <c r="C91" s="1">
        <v>0</v>
      </c>
    </row>
    <row r="92" spans="1:3" x14ac:dyDescent="0.25">
      <c r="A92" s="1">
        <v>91</v>
      </c>
      <c r="B92" s="4">
        <v>990</v>
      </c>
      <c r="C92" s="1">
        <v>1</v>
      </c>
    </row>
    <row r="93" spans="1:3" x14ac:dyDescent="0.25">
      <c r="A93" s="1">
        <v>92</v>
      </c>
      <c r="B93" s="4">
        <v>493</v>
      </c>
      <c r="C93" s="1">
        <v>0</v>
      </c>
    </row>
    <row r="94" spans="1:3" x14ac:dyDescent="0.25">
      <c r="A94" s="1">
        <v>93</v>
      </c>
      <c r="B94" s="4">
        <v>490</v>
      </c>
      <c r="C94" s="1">
        <v>0</v>
      </c>
    </row>
    <row r="95" spans="1:3" x14ac:dyDescent="0.25">
      <c r="A95" s="1">
        <v>94</v>
      </c>
      <c r="B95" s="4">
        <v>866</v>
      </c>
      <c r="C95" s="1">
        <v>0</v>
      </c>
    </row>
    <row r="96" spans="1:3" x14ac:dyDescent="0.25">
      <c r="A96" s="1">
        <v>95</v>
      </c>
      <c r="B96" s="4">
        <v>372</v>
      </c>
      <c r="C96" s="1">
        <v>0</v>
      </c>
    </row>
    <row r="97" spans="1:3" x14ac:dyDescent="0.25">
      <c r="A97" s="1">
        <v>96</v>
      </c>
      <c r="B97" s="4">
        <v>346</v>
      </c>
      <c r="C97" s="1">
        <v>0</v>
      </c>
    </row>
    <row r="98" spans="1:3" x14ac:dyDescent="0.25">
      <c r="A98" s="1">
        <v>97</v>
      </c>
      <c r="B98" s="4">
        <v>647</v>
      </c>
      <c r="C98" s="1">
        <v>0</v>
      </c>
    </row>
    <row r="99" spans="1:3" x14ac:dyDescent="0.25">
      <c r="A99" s="1">
        <v>98</v>
      </c>
      <c r="B99" s="4">
        <v>1295</v>
      </c>
      <c r="C99" s="1">
        <v>1</v>
      </c>
    </row>
    <row r="100" spans="1:3" x14ac:dyDescent="0.25">
      <c r="A100" s="1">
        <v>99</v>
      </c>
      <c r="B100" s="4">
        <v>625</v>
      </c>
      <c r="C100" s="1">
        <v>0</v>
      </c>
    </row>
    <row r="101" spans="1:3" x14ac:dyDescent="0.25">
      <c r="A101" s="1">
        <v>100</v>
      </c>
      <c r="B101" s="4">
        <v>1356</v>
      </c>
      <c r="C101" s="1">
        <v>1</v>
      </c>
    </row>
    <row r="102" spans="1:3" x14ac:dyDescent="0.25">
      <c r="A102" s="1">
        <v>101</v>
      </c>
      <c r="B102" s="4">
        <v>778</v>
      </c>
      <c r="C102" s="1">
        <v>0</v>
      </c>
    </row>
    <row r="103" spans="1:3" x14ac:dyDescent="0.25">
      <c r="A103" s="1">
        <v>102</v>
      </c>
      <c r="B103" s="4">
        <v>759</v>
      </c>
      <c r="C103" s="1">
        <v>1</v>
      </c>
    </row>
    <row r="104" spans="1:3" x14ac:dyDescent="0.25">
      <c r="A104" s="1">
        <v>103</v>
      </c>
      <c r="B104" s="4">
        <v>415</v>
      </c>
      <c r="C104" s="1">
        <v>0</v>
      </c>
    </row>
    <row r="105" spans="1:3" x14ac:dyDescent="0.25">
      <c r="A105" s="1">
        <v>104</v>
      </c>
      <c r="B105" s="4">
        <v>719</v>
      </c>
      <c r="C105" s="1">
        <v>0</v>
      </c>
    </row>
    <row r="106" spans="1:3" x14ac:dyDescent="0.25">
      <c r="A106" s="1">
        <v>105</v>
      </c>
      <c r="B106" s="4">
        <v>525</v>
      </c>
      <c r="C106" s="1">
        <v>0</v>
      </c>
    </row>
    <row r="107" spans="1:3" x14ac:dyDescent="0.25">
      <c r="A107" s="1">
        <v>106</v>
      </c>
      <c r="B107" s="4">
        <v>960</v>
      </c>
      <c r="C107" s="1">
        <v>1</v>
      </c>
    </row>
    <row r="108" spans="1:3" x14ac:dyDescent="0.25">
      <c r="A108" s="1">
        <v>107</v>
      </c>
      <c r="B108" s="4">
        <v>976</v>
      </c>
      <c r="C108" s="1">
        <v>1</v>
      </c>
    </row>
    <row r="109" spans="1:3" x14ac:dyDescent="0.25">
      <c r="A109" s="1">
        <v>108</v>
      </c>
      <c r="B109" s="4">
        <v>1176</v>
      </c>
      <c r="C109" s="1">
        <v>1</v>
      </c>
    </row>
    <row r="110" spans="1:3" x14ac:dyDescent="0.25">
      <c r="A110" s="1">
        <v>109</v>
      </c>
      <c r="B110" s="4">
        <v>426</v>
      </c>
      <c r="C110" s="1">
        <v>0</v>
      </c>
    </row>
    <row r="111" spans="1:3" x14ac:dyDescent="0.25">
      <c r="A111" s="1">
        <v>110</v>
      </c>
      <c r="B111" s="4">
        <v>333</v>
      </c>
      <c r="C111" s="1">
        <v>0</v>
      </c>
    </row>
    <row r="112" spans="1:3" x14ac:dyDescent="0.25">
      <c r="A112" s="1">
        <v>111</v>
      </c>
      <c r="B112" s="4">
        <v>1036</v>
      </c>
      <c r="C112" s="1">
        <v>1</v>
      </c>
    </row>
    <row r="113" spans="1:3" x14ac:dyDescent="0.25">
      <c r="A113" s="1">
        <v>112</v>
      </c>
      <c r="B113" s="4">
        <v>1257</v>
      </c>
      <c r="C113" s="1">
        <v>1</v>
      </c>
    </row>
    <row r="114" spans="1:3" x14ac:dyDescent="0.25">
      <c r="A114" s="1">
        <v>113</v>
      </c>
      <c r="B114" s="4">
        <v>1144</v>
      </c>
      <c r="C114" s="1">
        <v>1</v>
      </c>
    </row>
    <row r="115" spans="1:3" x14ac:dyDescent="0.25">
      <c r="A115" s="1">
        <v>114</v>
      </c>
      <c r="B115" s="4">
        <v>938</v>
      </c>
      <c r="C115" s="1">
        <v>1</v>
      </c>
    </row>
    <row r="116" spans="1:3" x14ac:dyDescent="0.25">
      <c r="A116" s="1">
        <v>115</v>
      </c>
      <c r="B116" s="4">
        <v>620</v>
      </c>
      <c r="C116" s="1">
        <v>0</v>
      </c>
    </row>
    <row r="117" spans="1:3" x14ac:dyDescent="0.25">
      <c r="A117" s="1">
        <v>116</v>
      </c>
      <c r="B117" s="4">
        <v>535</v>
      </c>
      <c r="C117" s="1">
        <v>0</v>
      </c>
    </row>
    <row r="118" spans="1:3" x14ac:dyDescent="0.25">
      <c r="A118" s="1">
        <v>117</v>
      </c>
      <c r="B118" s="4">
        <v>86</v>
      </c>
      <c r="C118" s="1">
        <v>0</v>
      </c>
    </row>
    <row r="119" spans="1:3" x14ac:dyDescent="0.25">
      <c r="A119" s="1">
        <v>118</v>
      </c>
      <c r="B119" s="4">
        <v>361</v>
      </c>
      <c r="C119" s="1">
        <v>0</v>
      </c>
    </row>
    <row r="120" spans="1:3" x14ac:dyDescent="0.25">
      <c r="A120" s="1">
        <v>119</v>
      </c>
      <c r="B120" s="4">
        <v>300</v>
      </c>
      <c r="C120" s="1">
        <v>0</v>
      </c>
    </row>
    <row r="121" spans="1:3" x14ac:dyDescent="0.25">
      <c r="A121" s="1">
        <v>120</v>
      </c>
      <c r="B121" s="4">
        <v>596</v>
      </c>
      <c r="C121" s="1">
        <v>0</v>
      </c>
    </row>
    <row r="122" spans="1:3" x14ac:dyDescent="0.25">
      <c r="A122" s="1">
        <v>121</v>
      </c>
      <c r="B122" s="4">
        <v>576</v>
      </c>
      <c r="C122" s="1">
        <v>0</v>
      </c>
    </row>
    <row r="123" spans="1:3" x14ac:dyDescent="0.25">
      <c r="A123" s="1">
        <v>122</v>
      </c>
      <c r="B123" s="4">
        <v>527</v>
      </c>
      <c r="C123" s="1">
        <v>0</v>
      </c>
    </row>
    <row r="124" spans="1:3" x14ac:dyDescent="0.25">
      <c r="A124" s="1">
        <v>123</v>
      </c>
      <c r="B124" s="4">
        <v>1376</v>
      </c>
      <c r="C124" s="1">
        <v>1</v>
      </c>
    </row>
    <row r="125" spans="1:3" x14ac:dyDescent="0.25">
      <c r="A125" s="1">
        <v>124</v>
      </c>
      <c r="B125" s="4">
        <v>455</v>
      </c>
      <c r="C125" s="1">
        <v>0</v>
      </c>
    </row>
    <row r="126" spans="1:3" x14ac:dyDescent="0.25">
      <c r="A126" s="1">
        <v>125</v>
      </c>
      <c r="B126" s="4">
        <v>573</v>
      </c>
      <c r="C126" s="1">
        <v>0</v>
      </c>
    </row>
    <row r="127" spans="1:3" x14ac:dyDescent="0.25">
      <c r="A127" s="1">
        <v>126</v>
      </c>
      <c r="B127" s="4">
        <v>1346</v>
      </c>
      <c r="C127" s="1">
        <v>1</v>
      </c>
    </row>
    <row r="128" spans="1:3" x14ac:dyDescent="0.25">
      <c r="A128" s="1">
        <v>127</v>
      </c>
      <c r="B128" s="4">
        <v>570</v>
      </c>
      <c r="C128" s="1">
        <v>0</v>
      </c>
    </row>
    <row r="129" spans="1:3" x14ac:dyDescent="0.25">
      <c r="A129" s="1">
        <v>128</v>
      </c>
      <c r="B129" s="4">
        <v>1509</v>
      </c>
      <c r="C129" s="1">
        <v>1</v>
      </c>
    </row>
    <row r="130" spans="1:3" x14ac:dyDescent="0.25">
      <c r="A130" s="1">
        <v>129</v>
      </c>
      <c r="B130" s="4">
        <v>263</v>
      </c>
      <c r="C130" s="1">
        <v>0</v>
      </c>
    </row>
    <row r="131" spans="1:3" x14ac:dyDescent="0.25">
      <c r="A131" s="1">
        <v>130</v>
      </c>
      <c r="B131" s="4">
        <v>324</v>
      </c>
      <c r="C131" s="1">
        <v>0</v>
      </c>
    </row>
    <row r="132" spans="1:3" x14ac:dyDescent="0.25">
      <c r="A132" s="1">
        <v>131</v>
      </c>
      <c r="B132" s="4">
        <v>1124</v>
      </c>
      <c r="C132" s="1">
        <v>1</v>
      </c>
    </row>
    <row r="133" spans="1:3" x14ac:dyDescent="0.25">
      <c r="A133" s="1">
        <v>132</v>
      </c>
      <c r="B133" s="4">
        <v>850</v>
      </c>
      <c r="C133" s="1">
        <v>1</v>
      </c>
    </row>
    <row r="134" spans="1:3" x14ac:dyDescent="0.25">
      <c r="A134" s="1">
        <v>133</v>
      </c>
      <c r="B134" s="4">
        <v>786</v>
      </c>
      <c r="C134" s="1">
        <v>0</v>
      </c>
    </row>
    <row r="135" spans="1:3" x14ac:dyDescent="0.25">
      <c r="A135" s="1">
        <v>134</v>
      </c>
      <c r="B135" s="4">
        <v>363</v>
      </c>
      <c r="C135" s="1">
        <v>0</v>
      </c>
    </row>
    <row r="136" spans="1:3" x14ac:dyDescent="0.25">
      <c r="A136" s="1">
        <v>135</v>
      </c>
      <c r="B136" s="4">
        <v>476</v>
      </c>
      <c r="C136" s="1">
        <v>0</v>
      </c>
    </row>
    <row r="137" spans="1:3" x14ac:dyDescent="0.25">
      <c r="A137" s="1">
        <v>136</v>
      </c>
      <c r="B137" s="4">
        <v>990</v>
      </c>
      <c r="C137" s="1">
        <v>1</v>
      </c>
    </row>
    <row r="138" spans="1:3" x14ac:dyDescent="0.25">
      <c r="A138" s="1">
        <v>137</v>
      </c>
      <c r="B138" s="4">
        <v>714</v>
      </c>
      <c r="C138" s="1">
        <v>0</v>
      </c>
    </row>
    <row r="139" spans="1:3" x14ac:dyDescent="0.25">
      <c r="A139" s="1">
        <v>138</v>
      </c>
      <c r="B139" s="4">
        <v>899</v>
      </c>
      <c r="C139" s="1">
        <v>0</v>
      </c>
    </row>
    <row r="140" spans="1:3" x14ac:dyDescent="0.25">
      <c r="A140" s="1">
        <v>139</v>
      </c>
      <c r="B140" s="4">
        <v>680</v>
      </c>
      <c r="C140" s="1">
        <v>0</v>
      </c>
    </row>
    <row r="141" spans="1:3" x14ac:dyDescent="0.25">
      <c r="A141" s="1">
        <v>140</v>
      </c>
      <c r="B141" s="4">
        <v>1009</v>
      </c>
      <c r="C141" s="1">
        <v>1</v>
      </c>
    </row>
    <row r="142" spans="1:3" x14ac:dyDescent="0.25">
      <c r="A142" s="1">
        <v>141</v>
      </c>
      <c r="B142" s="4">
        <v>164</v>
      </c>
      <c r="C142" s="1">
        <v>0</v>
      </c>
    </row>
    <row r="143" spans="1:3" x14ac:dyDescent="0.25">
      <c r="A143" s="1">
        <v>142</v>
      </c>
      <c r="B143" s="4">
        <v>582</v>
      </c>
      <c r="C143" s="1">
        <v>0</v>
      </c>
    </row>
    <row r="144" spans="1:3" x14ac:dyDescent="0.25">
      <c r="A144" s="1">
        <v>143</v>
      </c>
      <c r="B144" s="4">
        <v>553</v>
      </c>
      <c r="C144" s="1">
        <v>0</v>
      </c>
    </row>
    <row r="145" spans="1:3" x14ac:dyDescent="0.25">
      <c r="A145" s="1">
        <v>144</v>
      </c>
      <c r="B145" s="4">
        <v>270</v>
      </c>
      <c r="C145" s="1">
        <v>0</v>
      </c>
    </row>
    <row r="146" spans="1:3" x14ac:dyDescent="0.25">
      <c r="A146" s="1">
        <v>145</v>
      </c>
      <c r="B146" s="4">
        <v>432</v>
      </c>
      <c r="C146" s="1">
        <v>0</v>
      </c>
    </row>
    <row r="147" spans="1:3" x14ac:dyDescent="0.25">
      <c r="A147" s="1">
        <v>146</v>
      </c>
      <c r="B147" s="4">
        <v>468</v>
      </c>
      <c r="C147" s="1">
        <v>0</v>
      </c>
    </row>
    <row r="148" spans="1:3" x14ac:dyDescent="0.25">
      <c r="A148" s="1">
        <v>147</v>
      </c>
      <c r="B148" s="4">
        <v>328</v>
      </c>
      <c r="C148" s="1">
        <v>0</v>
      </c>
    </row>
    <row r="149" spans="1:3" x14ac:dyDescent="0.25">
      <c r="A149" s="1">
        <v>148</v>
      </c>
      <c r="B149" s="4">
        <v>438</v>
      </c>
      <c r="C149" s="1">
        <v>0</v>
      </c>
    </row>
    <row r="150" spans="1:3" x14ac:dyDescent="0.25">
      <c r="A150" s="1">
        <v>149</v>
      </c>
      <c r="B150" s="4">
        <v>483</v>
      </c>
      <c r="C150" s="1">
        <v>0</v>
      </c>
    </row>
    <row r="151" spans="1:3" x14ac:dyDescent="0.25">
      <c r="A151" s="1">
        <v>150</v>
      </c>
      <c r="B151" s="4">
        <v>512</v>
      </c>
      <c r="C151" s="1">
        <v>0</v>
      </c>
    </row>
    <row r="152" spans="1:3" x14ac:dyDescent="0.25">
      <c r="A152" s="1">
        <v>151</v>
      </c>
      <c r="B152" s="4">
        <v>946</v>
      </c>
      <c r="C152" s="1">
        <v>1</v>
      </c>
    </row>
    <row r="153" spans="1:3" x14ac:dyDescent="0.25">
      <c r="A153" s="1">
        <v>152</v>
      </c>
      <c r="B153" s="4">
        <v>1282</v>
      </c>
      <c r="C153" s="1">
        <v>1</v>
      </c>
    </row>
    <row r="154" spans="1:3" x14ac:dyDescent="0.25">
      <c r="A154" s="1">
        <v>153</v>
      </c>
      <c r="B154" s="4">
        <v>451</v>
      </c>
      <c r="C154" s="1">
        <v>0</v>
      </c>
    </row>
    <row r="155" spans="1:3" x14ac:dyDescent="0.25">
      <c r="A155" s="1">
        <v>154</v>
      </c>
      <c r="B155" s="4">
        <v>720</v>
      </c>
      <c r="C155" s="1">
        <v>0</v>
      </c>
    </row>
    <row r="156" spans="1:3" x14ac:dyDescent="0.25">
      <c r="A156" s="1">
        <v>155</v>
      </c>
      <c r="B156" s="4">
        <v>971</v>
      </c>
      <c r="C156" s="1">
        <v>1</v>
      </c>
    </row>
    <row r="157" spans="1:3" x14ac:dyDescent="0.25">
      <c r="A157" s="1">
        <v>156</v>
      </c>
      <c r="B157" s="4">
        <v>1055</v>
      </c>
      <c r="C157" s="1">
        <v>1</v>
      </c>
    </row>
    <row r="158" spans="1:3" x14ac:dyDescent="0.25">
      <c r="A158" s="1">
        <v>157</v>
      </c>
      <c r="B158" s="4">
        <v>708</v>
      </c>
      <c r="C158" s="1">
        <v>1</v>
      </c>
    </row>
    <row r="159" spans="1:3" x14ac:dyDescent="0.25">
      <c r="A159" s="1">
        <v>158</v>
      </c>
      <c r="B159" s="4">
        <v>431</v>
      </c>
      <c r="C159" s="1">
        <v>0</v>
      </c>
    </row>
    <row r="160" spans="1:3" x14ac:dyDescent="0.25">
      <c r="A160" s="1">
        <v>159</v>
      </c>
      <c r="B160" s="4">
        <v>555</v>
      </c>
      <c r="C160" s="1">
        <v>0</v>
      </c>
    </row>
    <row r="161" spans="1:3" x14ac:dyDescent="0.25">
      <c r="A161" s="1">
        <v>160</v>
      </c>
      <c r="B161" s="4">
        <v>615</v>
      </c>
      <c r="C161" s="1">
        <v>0</v>
      </c>
    </row>
    <row r="162" spans="1:3" x14ac:dyDescent="0.25">
      <c r="A162" s="1">
        <v>161</v>
      </c>
      <c r="B162" s="4">
        <v>377</v>
      </c>
      <c r="C162" s="1">
        <v>0</v>
      </c>
    </row>
    <row r="163" spans="1:3" x14ac:dyDescent="0.25">
      <c r="A163" s="1">
        <v>162</v>
      </c>
      <c r="B163" s="4">
        <v>1058</v>
      </c>
      <c r="C163" s="1">
        <v>1</v>
      </c>
    </row>
    <row r="164" spans="1:3" x14ac:dyDescent="0.25">
      <c r="A164" s="1">
        <v>163</v>
      </c>
      <c r="B164" s="4">
        <v>309</v>
      </c>
      <c r="C164" s="1">
        <v>0</v>
      </c>
    </row>
    <row r="165" spans="1:3" x14ac:dyDescent="0.25">
      <c r="A165" s="1">
        <v>164</v>
      </c>
      <c r="B165" s="4">
        <v>812</v>
      </c>
      <c r="C165" s="1">
        <v>0</v>
      </c>
    </row>
    <row r="166" spans="1:3" x14ac:dyDescent="0.25">
      <c r="A166" s="1">
        <v>165</v>
      </c>
      <c r="B166" s="4">
        <v>956</v>
      </c>
      <c r="C166" s="1">
        <v>1</v>
      </c>
    </row>
    <row r="167" spans="1:3" x14ac:dyDescent="0.25">
      <c r="A167" s="1">
        <v>166</v>
      </c>
      <c r="B167" s="4">
        <v>271</v>
      </c>
      <c r="C167" s="1">
        <v>0</v>
      </c>
    </row>
    <row r="168" spans="1:3" x14ac:dyDescent="0.25">
      <c r="A168" s="1">
        <v>167</v>
      </c>
      <c r="B168" s="4">
        <v>317</v>
      </c>
      <c r="C168" s="1">
        <v>0</v>
      </c>
    </row>
    <row r="169" spans="1:3" x14ac:dyDescent="0.25">
      <c r="A169" s="1">
        <v>168</v>
      </c>
      <c r="B169" s="4">
        <v>383</v>
      </c>
      <c r="C169" s="1">
        <v>0</v>
      </c>
    </row>
    <row r="170" spans="1:3" x14ac:dyDescent="0.25">
      <c r="A170" s="1">
        <v>169</v>
      </c>
      <c r="B170" s="4">
        <v>191</v>
      </c>
      <c r="C170" s="1">
        <v>0</v>
      </c>
    </row>
    <row r="171" spans="1:3" x14ac:dyDescent="0.25">
      <c r="A171" s="1">
        <v>170</v>
      </c>
      <c r="B171" s="4">
        <v>433</v>
      </c>
      <c r="C171" s="1">
        <v>0</v>
      </c>
    </row>
    <row r="172" spans="1:3" x14ac:dyDescent="0.25">
      <c r="A172" s="1">
        <v>171</v>
      </c>
      <c r="B172" s="4">
        <v>915</v>
      </c>
      <c r="C172" s="1">
        <v>1</v>
      </c>
    </row>
    <row r="173" spans="1:3" x14ac:dyDescent="0.25">
      <c r="A173" s="1">
        <v>172</v>
      </c>
      <c r="B173" s="4">
        <v>238</v>
      </c>
      <c r="C173" s="1">
        <v>0</v>
      </c>
    </row>
    <row r="174" spans="1:3" x14ac:dyDescent="0.25">
      <c r="A174" s="1">
        <v>173</v>
      </c>
      <c r="B174" s="4">
        <v>464</v>
      </c>
      <c r="C174" s="1">
        <v>0</v>
      </c>
    </row>
    <row r="175" spans="1:3" x14ac:dyDescent="0.25">
      <c r="A175" s="1">
        <v>174</v>
      </c>
      <c r="B175" s="4">
        <v>718</v>
      </c>
      <c r="C175" s="1">
        <v>0</v>
      </c>
    </row>
    <row r="176" spans="1:3" x14ac:dyDescent="0.25">
      <c r="A176" s="1">
        <v>175</v>
      </c>
      <c r="B176" s="4">
        <v>224</v>
      </c>
      <c r="C176" s="1">
        <v>0</v>
      </c>
    </row>
    <row r="177" spans="1:3" x14ac:dyDescent="0.25">
      <c r="A177" s="1">
        <v>176</v>
      </c>
      <c r="B177" s="4">
        <v>900</v>
      </c>
      <c r="C177" s="1">
        <v>0</v>
      </c>
    </row>
    <row r="178" spans="1:3" x14ac:dyDescent="0.25">
      <c r="A178" s="1">
        <v>177</v>
      </c>
      <c r="B178" s="4">
        <v>376</v>
      </c>
      <c r="C178" s="1">
        <v>0</v>
      </c>
    </row>
    <row r="179" spans="1:3" x14ac:dyDescent="0.25">
      <c r="A179" s="1">
        <v>178</v>
      </c>
      <c r="B179" s="4">
        <v>763</v>
      </c>
      <c r="C179" s="1">
        <v>0</v>
      </c>
    </row>
    <row r="180" spans="1:3" x14ac:dyDescent="0.25">
      <c r="A180" s="1">
        <v>179</v>
      </c>
      <c r="B180" s="4">
        <v>1001</v>
      </c>
      <c r="C180" s="1">
        <v>1</v>
      </c>
    </row>
    <row r="181" spans="1:3" x14ac:dyDescent="0.25">
      <c r="A181" s="1">
        <v>180</v>
      </c>
      <c r="B181" s="4">
        <v>247</v>
      </c>
      <c r="C181" s="1">
        <v>0</v>
      </c>
    </row>
    <row r="182" spans="1:3" x14ac:dyDescent="0.25">
      <c r="A182" s="1">
        <v>181</v>
      </c>
      <c r="B182" s="4">
        <v>674</v>
      </c>
      <c r="C182" s="1">
        <v>1</v>
      </c>
    </row>
    <row r="183" spans="1:3" x14ac:dyDescent="0.25">
      <c r="A183" s="1">
        <v>182</v>
      </c>
      <c r="B183" s="4">
        <v>1249</v>
      </c>
      <c r="C183" s="1">
        <v>1</v>
      </c>
    </row>
    <row r="184" spans="1:3" x14ac:dyDescent="0.25">
      <c r="A184" s="1">
        <v>183</v>
      </c>
      <c r="B184" s="4">
        <v>1097</v>
      </c>
      <c r="C184" s="1">
        <v>1</v>
      </c>
    </row>
    <row r="185" spans="1:3" x14ac:dyDescent="0.25">
      <c r="A185" s="1">
        <v>184</v>
      </c>
      <c r="B185" s="4">
        <v>249</v>
      </c>
      <c r="C185" s="1">
        <v>0</v>
      </c>
    </row>
    <row r="186" spans="1:3" x14ac:dyDescent="0.25">
      <c r="A186" s="1">
        <v>185</v>
      </c>
      <c r="B186" s="4">
        <v>1422</v>
      </c>
      <c r="C186" s="1">
        <v>1</v>
      </c>
    </row>
    <row r="187" spans="1:3" x14ac:dyDescent="0.25">
      <c r="A187" s="1">
        <v>186</v>
      </c>
      <c r="B187" s="4">
        <v>696</v>
      </c>
      <c r="C187" s="1">
        <v>0</v>
      </c>
    </row>
    <row r="188" spans="1:3" x14ac:dyDescent="0.25">
      <c r="A188" s="1">
        <v>187</v>
      </c>
      <c r="B188" s="4">
        <v>676</v>
      </c>
      <c r="C188" s="1">
        <v>0</v>
      </c>
    </row>
    <row r="189" spans="1:3" x14ac:dyDescent="0.25">
      <c r="A189" s="1">
        <v>188</v>
      </c>
      <c r="B189" s="4">
        <v>570</v>
      </c>
      <c r="C189" s="1">
        <v>0</v>
      </c>
    </row>
    <row r="190" spans="1:3" x14ac:dyDescent="0.25">
      <c r="A190" s="1">
        <v>189</v>
      </c>
      <c r="B190" s="4">
        <v>554</v>
      </c>
      <c r="C190" s="1">
        <v>0</v>
      </c>
    </row>
    <row r="191" spans="1:3" x14ac:dyDescent="0.25">
      <c r="A191" s="1">
        <v>190</v>
      </c>
      <c r="B191" s="4">
        <v>509</v>
      </c>
      <c r="C191" s="1">
        <v>0</v>
      </c>
    </row>
    <row r="192" spans="1:3" x14ac:dyDescent="0.25">
      <c r="A192" s="1">
        <v>191</v>
      </c>
      <c r="B192" s="4">
        <v>1744</v>
      </c>
      <c r="C192" s="1">
        <v>1</v>
      </c>
    </row>
    <row r="193" spans="1:3" x14ac:dyDescent="0.25">
      <c r="A193" s="1">
        <v>192</v>
      </c>
      <c r="B193" s="4">
        <v>603</v>
      </c>
      <c r="C193" s="1">
        <v>0</v>
      </c>
    </row>
    <row r="194" spans="1:3" x14ac:dyDescent="0.25">
      <c r="A194" s="1">
        <v>193</v>
      </c>
      <c r="B194" s="4">
        <v>356</v>
      </c>
      <c r="C194" s="1">
        <v>0</v>
      </c>
    </row>
    <row r="195" spans="1:3" x14ac:dyDescent="0.25">
      <c r="A195" s="1">
        <v>194</v>
      </c>
      <c r="B195" s="4">
        <v>461</v>
      </c>
      <c r="C195" s="1">
        <v>0</v>
      </c>
    </row>
    <row r="196" spans="1:3" x14ac:dyDescent="0.25">
      <c r="A196" s="1">
        <v>195</v>
      </c>
      <c r="B196" s="4">
        <v>505</v>
      </c>
      <c r="C196" s="1">
        <v>0</v>
      </c>
    </row>
    <row r="197" spans="1:3" x14ac:dyDescent="0.25">
      <c r="A197" s="1">
        <v>196</v>
      </c>
      <c r="B197" s="4">
        <v>503</v>
      </c>
      <c r="C197" s="1">
        <v>0</v>
      </c>
    </row>
    <row r="198" spans="1:3" x14ac:dyDescent="0.25">
      <c r="A198" s="1">
        <v>197</v>
      </c>
      <c r="B198" s="4">
        <v>509</v>
      </c>
      <c r="C198" s="1">
        <v>0</v>
      </c>
    </row>
    <row r="199" spans="1:3" x14ac:dyDescent="0.25">
      <c r="A199" s="1">
        <v>198</v>
      </c>
      <c r="B199" s="4">
        <v>565</v>
      </c>
      <c r="C199" s="1">
        <v>0</v>
      </c>
    </row>
    <row r="200" spans="1:3" x14ac:dyDescent="0.25">
      <c r="A200" s="1">
        <v>199</v>
      </c>
      <c r="B200" s="4">
        <v>343</v>
      </c>
      <c r="C200" s="1">
        <v>0</v>
      </c>
    </row>
    <row r="201" spans="1:3" x14ac:dyDescent="0.25">
      <c r="A201" s="1">
        <v>200</v>
      </c>
      <c r="B201" s="4">
        <v>2726</v>
      </c>
      <c r="C201" s="1">
        <v>1</v>
      </c>
    </row>
    <row r="202" spans="1:3" x14ac:dyDescent="0.25">
      <c r="A202" s="1">
        <v>201</v>
      </c>
      <c r="B202" s="4">
        <v>582</v>
      </c>
      <c r="C202" s="1">
        <v>0</v>
      </c>
    </row>
    <row r="203" spans="1:3" x14ac:dyDescent="0.25">
      <c r="A203" s="1">
        <v>202</v>
      </c>
      <c r="B203" s="4">
        <v>767</v>
      </c>
      <c r="C203" s="1">
        <v>1</v>
      </c>
    </row>
    <row r="204" spans="1:3" x14ac:dyDescent="0.25">
      <c r="A204" s="1">
        <v>203</v>
      </c>
      <c r="B204" s="4">
        <v>587</v>
      </c>
      <c r="C204" s="1">
        <v>0</v>
      </c>
    </row>
    <row r="205" spans="1:3" x14ac:dyDescent="0.25">
      <c r="A205" s="1">
        <v>204</v>
      </c>
      <c r="B205" s="4">
        <v>809</v>
      </c>
      <c r="C205" s="1">
        <v>0</v>
      </c>
    </row>
    <row r="206" spans="1:3" x14ac:dyDescent="0.25">
      <c r="A206" s="1">
        <v>205</v>
      </c>
      <c r="B206" s="4">
        <v>1078</v>
      </c>
      <c r="C206" s="1">
        <v>1</v>
      </c>
    </row>
    <row r="207" spans="1:3" x14ac:dyDescent="0.25">
      <c r="A207" s="1">
        <v>206</v>
      </c>
      <c r="B207" s="4">
        <v>583</v>
      </c>
      <c r="C207" s="1">
        <v>0</v>
      </c>
    </row>
    <row r="208" spans="1:3" x14ac:dyDescent="0.25">
      <c r="A208" s="1">
        <v>207</v>
      </c>
      <c r="B208" s="4">
        <v>878</v>
      </c>
      <c r="C208" s="1">
        <v>1</v>
      </c>
    </row>
    <row r="209" spans="1:3" x14ac:dyDescent="0.25">
      <c r="A209" s="1">
        <v>208</v>
      </c>
      <c r="B209" s="4">
        <v>933</v>
      </c>
      <c r="C209" s="1">
        <v>0</v>
      </c>
    </row>
    <row r="210" spans="1:3" x14ac:dyDescent="0.25">
      <c r="A210" s="1">
        <v>209</v>
      </c>
      <c r="B210" s="4">
        <v>629</v>
      </c>
      <c r="C210" s="1">
        <v>0</v>
      </c>
    </row>
    <row r="211" spans="1:3" x14ac:dyDescent="0.25">
      <c r="A211" s="1">
        <v>210</v>
      </c>
      <c r="B211" s="4">
        <v>831</v>
      </c>
      <c r="C211" s="1">
        <v>0</v>
      </c>
    </row>
    <row r="212" spans="1:3" x14ac:dyDescent="0.25">
      <c r="A212" s="1">
        <v>211</v>
      </c>
      <c r="B212" s="4">
        <v>505</v>
      </c>
      <c r="C212" s="1">
        <v>0</v>
      </c>
    </row>
    <row r="213" spans="1:3" x14ac:dyDescent="0.25">
      <c r="A213" s="1">
        <v>212</v>
      </c>
      <c r="B213" s="4">
        <v>697</v>
      </c>
      <c r="C213" s="1">
        <v>1</v>
      </c>
    </row>
    <row r="214" spans="1:3" x14ac:dyDescent="0.25">
      <c r="A214" s="1">
        <v>213</v>
      </c>
      <c r="B214" s="4">
        <v>528</v>
      </c>
      <c r="C214" s="1">
        <v>0</v>
      </c>
    </row>
    <row r="215" spans="1:3" x14ac:dyDescent="0.25">
      <c r="A215" s="1">
        <v>214</v>
      </c>
      <c r="B215" s="4">
        <v>1074</v>
      </c>
      <c r="C215" s="1">
        <v>1</v>
      </c>
    </row>
    <row r="216" spans="1:3" x14ac:dyDescent="0.25">
      <c r="A216" s="1">
        <v>215</v>
      </c>
      <c r="B216" s="4">
        <v>972</v>
      </c>
      <c r="C216" s="1">
        <v>1</v>
      </c>
    </row>
    <row r="217" spans="1:3" x14ac:dyDescent="0.25">
      <c r="A217" s="1">
        <v>216</v>
      </c>
      <c r="B217" s="4">
        <v>974</v>
      </c>
      <c r="C217" s="1">
        <v>1</v>
      </c>
    </row>
    <row r="218" spans="1:3" x14ac:dyDescent="0.25">
      <c r="A218" s="1">
        <v>217</v>
      </c>
      <c r="B218" s="4">
        <v>341</v>
      </c>
      <c r="C218" s="1">
        <v>0</v>
      </c>
    </row>
    <row r="219" spans="1:3" x14ac:dyDescent="0.25">
      <c r="A219" s="1">
        <v>218</v>
      </c>
      <c r="B219" s="4">
        <v>446</v>
      </c>
      <c r="C219" s="1">
        <v>0</v>
      </c>
    </row>
    <row r="220" spans="1:3" x14ac:dyDescent="0.25">
      <c r="A220" s="1">
        <v>219</v>
      </c>
      <c r="B220" s="4">
        <v>664</v>
      </c>
      <c r="C220" s="1">
        <v>1</v>
      </c>
    </row>
    <row r="221" spans="1:3" x14ac:dyDescent="0.25">
      <c r="A221" s="1">
        <v>220</v>
      </c>
      <c r="B221" s="4">
        <v>1362</v>
      </c>
      <c r="C221" s="1">
        <v>1</v>
      </c>
    </row>
    <row r="222" spans="1:3" x14ac:dyDescent="0.25">
      <c r="A222" s="1">
        <v>221</v>
      </c>
      <c r="B222" s="4">
        <v>1068</v>
      </c>
      <c r="C222" s="1">
        <v>1</v>
      </c>
    </row>
    <row r="223" spans="1:3" x14ac:dyDescent="0.25">
      <c r="A223" s="1">
        <v>222</v>
      </c>
      <c r="B223" s="4">
        <v>283</v>
      </c>
      <c r="C223" s="1">
        <v>0</v>
      </c>
    </row>
    <row r="224" spans="1:3" x14ac:dyDescent="0.25">
      <c r="A224" s="1">
        <v>223</v>
      </c>
      <c r="B224" s="4">
        <v>541</v>
      </c>
      <c r="C224" s="1">
        <v>0</v>
      </c>
    </row>
    <row r="225" spans="1:3" x14ac:dyDescent="0.25">
      <c r="A225" s="1">
        <v>224</v>
      </c>
      <c r="B225" s="4">
        <v>371</v>
      </c>
      <c r="C225" s="1">
        <v>0</v>
      </c>
    </row>
    <row r="226" spans="1:3" x14ac:dyDescent="0.25">
      <c r="A226" s="1">
        <v>225</v>
      </c>
      <c r="B226" s="4">
        <v>277</v>
      </c>
      <c r="C226" s="1">
        <v>0</v>
      </c>
    </row>
    <row r="227" spans="1:3" x14ac:dyDescent="0.25">
      <c r="A227" s="1">
        <v>226</v>
      </c>
      <c r="B227" s="4">
        <v>553</v>
      </c>
      <c r="C227" s="1">
        <v>0</v>
      </c>
    </row>
    <row r="228" spans="1:3" x14ac:dyDescent="0.25">
      <c r="A228" s="1">
        <v>227</v>
      </c>
      <c r="B228" s="4">
        <v>352</v>
      </c>
      <c r="C228" s="1">
        <v>0</v>
      </c>
    </row>
    <row r="229" spans="1:3" x14ac:dyDescent="0.25">
      <c r="A229" s="1">
        <v>228</v>
      </c>
      <c r="B229" s="4">
        <v>610</v>
      </c>
      <c r="C229" s="1">
        <v>0</v>
      </c>
    </row>
    <row r="230" spans="1:3" x14ac:dyDescent="0.25">
      <c r="A230" s="1">
        <v>229</v>
      </c>
      <c r="B230" s="4">
        <v>536</v>
      </c>
      <c r="C230" s="1">
        <v>0</v>
      </c>
    </row>
    <row r="231" spans="1:3" x14ac:dyDescent="0.25">
      <c r="A231" s="1">
        <v>230</v>
      </c>
      <c r="B231" s="4">
        <v>1209</v>
      </c>
      <c r="C231" s="1">
        <v>1</v>
      </c>
    </row>
    <row r="232" spans="1:3" x14ac:dyDescent="0.25">
      <c r="A232" s="1">
        <v>231</v>
      </c>
      <c r="B232" s="4">
        <v>935</v>
      </c>
      <c r="C232" s="1">
        <v>1</v>
      </c>
    </row>
    <row r="233" spans="1:3" x14ac:dyDescent="0.25">
      <c r="A233" s="1">
        <v>232</v>
      </c>
      <c r="B233" s="4">
        <v>1127</v>
      </c>
      <c r="C233" s="1">
        <v>1</v>
      </c>
    </row>
    <row r="234" spans="1:3" x14ac:dyDescent="0.25">
      <c r="A234" s="1">
        <v>233</v>
      </c>
      <c r="B234" s="4">
        <v>600</v>
      </c>
      <c r="C234" s="1">
        <v>0</v>
      </c>
    </row>
    <row r="235" spans="1:3" x14ac:dyDescent="0.25">
      <c r="A235" s="1">
        <v>234</v>
      </c>
      <c r="B235" s="4">
        <v>1123</v>
      </c>
      <c r="C235" s="1">
        <v>1</v>
      </c>
    </row>
    <row r="236" spans="1:3" x14ac:dyDescent="0.25">
      <c r="A236" s="1">
        <v>235</v>
      </c>
      <c r="B236" s="4">
        <v>552</v>
      </c>
      <c r="C236" s="1">
        <v>0</v>
      </c>
    </row>
    <row r="237" spans="1:3" x14ac:dyDescent="0.25">
      <c r="A237" s="1">
        <v>236</v>
      </c>
      <c r="B237" s="4">
        <v>389</v>
      </c>
      <c r="C237" s="1">
        <v>0</v>
      </c>
    </row>
    <row r="238" spans="1:3" x14ac:dyDescent="0.25">
      <c r="A238" s="1">
        <v>237</v>
      </c>
      <c r="B238" s="4">
        <v>437</v>
      </c>
      <c r="C238" s="1">
        <v>0</v>
      </c>
    </row>
    <row r="239" spans="1:3" x14ac:dyDescent="0.25">
      <c r="A239" s="1">
        <v>238</v>
      </c>
      <c r="B239" s="4">
        <v>394</v>
      </c>
      <c r="C239" s="1">
        <v>0</v>
      </c>
    </row>
    <row r="240" spans="1:3" x14ac:dyDescent="0.25">
      <c r="A240" s="1">
        <v>239</v>
      </c>
      <c r="B240" s="4">
        <v>781</v>
      </c>
      <c r="C240" s="1">
        <v>0</v>
      </c>
    </row>
    <row r="241" spans="1:3" x14ac:dyDescent="0.25">
      <c r="A241" s="1">
        <v>240</v>
      </c>
      <c r="B241" s="4">
        <v>159</v>
      </c>
      <c r="C241" s="1">
        <v>0</v>
      </c>
    </row>
    <row r="242" spans="1:3" x14ac:dyDescent="0.25">
      <c r="A242" s="1">
        <v>241</v>
      </c>
      <c r="B242" s="4">
        <v>516</v>
      </c>
      <c r="C242" s="1">
        <v>0</v>
      </c>
    </row>
    <row r="243" spans="1:3" x14ac:dyDescent="0.25">
      <c r="A243" s="1">
        <v>242</v>
      </c>
      <c r="B243" s="4">
        <v>582</v>
      </c>
      <c r="C243" s="1">
        <v>0</v>
      </c>
    </row>
    <row r="244" spans="1:3" x14ac:dyDescent="0.25">
      <c r="A244" s="1">
        <v>243</v>
      </c>
      <c r="B244" s="4">
        <v>491</v>
      </c>
      <c r="C244" s="1">
        <v>0</v>
      </c>
    </row>
    <row r="245" spans="1:3" x14ac:dyDescent="0.25">
      <c r="A245" s="1">
        <v>244</v>
      </c>
      <c r="B245" s="4">
        <v>841</v>
      </c>
      <c r="C245" s="1">
        <v>0</v>
      </c>
    </row>
    <row r="246" spans="1:3" x14ac:dyDescent="0.25">
      <c r="A246" s="1">
        <v>245</v>
      </c>
      <c r="B246" s="4">
        <v>1196</v>
      </c>
      <c r="C246" s="1">
        <v>1</v>
      </c>
    </row>
    <row r="247" spans="1:3" x14ac:dyDescent="0.25">
      <c r="A247" s="1">
        <v>246</v>
      </c>
      <c r="B247" s="4">
        <v>550</v>
      </c>
      <c r="C247" s="1">
        <v>0</v>
      </c>
    </row>
    <row r="248" spans="1:3" x14ac:dyDescent="0.25">
      <c r="A248" s="1">
        <v>247</v>
      </c>
      <c r="B248" s="4">
        <v>367</v>
      </c>
      <c r="C248" s="1">
        <v>0</v>
      </c>
    </row>
    <row r="249" spans="1:3" x14ac:dyDescent="0.25">
      <c r="A249" s="1">
        <v>248</v>
      </c>
      <c r="B249" s="4">
        <v>537</v>
      </c>
      <c r="C249" s="1">
        <v>0</v>
      </c>
    </row>
    <row r="250" spans="1:3" x14ac:dyDescent="0.25">
      <c r="A250" s="1">
        <v>249</v>
      </c>
      <c r="B250" s="4">
        <v>458</v>
      </c>
      <c r="C250" s="1">
        <v>0</v>
      </c>
    </row>
    <row r="251" spans="1:3" x14ac:dyDescent="0.25">
      <c r="A251" s="1">
        <v>250</v>
      </c>
      <c r="B251" s="4">
        <v>1646</v>
      </c>
      <c r="C251" s="1">
        <v>1</v>
      </c>
    </row>
    <row r="252" spans="1:3" x14ac:dyDescent="0.25">
      <c r="A252" s="1">
        <v>251</v>
      </c>
      <c r="B252" s="4">
        <v>961</v>
      </c>
      <c r="C252" s="1">
        <v>1</v>
      </c>
    </row>
    <row r="253" spans="1:3" x14ac:dyDescent="0.25">
      <c r="A253" s="1">
        <v>252</v>
      </c>
      <c r="B253" s="4">
        <v>373</v>
      </c>
      <c r="C253" s="1">
        <v>0</v>
      </c>
    </row>
    <row r="254" spans="1:3" x14ac:dyDescent="0.25">
      <c r="A254" s="1">
        <v>253</v>
      </c>
      <c r="B254" s="4">
        <v>595</v>
      </c>
      <c r="C254" s="1">
        <v>0</v>
      </c>
    </row>
    <row r="255" spans="1:3" x14ac:dyDescent="0.25">
      <c r="A255" s="1">
        <v>254</v>
      </c>
      <c r="B255" s="4">
        <v>607</v>
      </c>
      <c r="C255" s="1">
        <v>0</v>
      </c>
    </row>
    <row r="256" spans="1:3" x14ac:dyDescent="0.25">
      <c r="A256" s="1">
        <v>255</v>
      </c>
      <c r="B256" s="4">
        <v>782</v>
      </c>
      <c r="C256" s="1">
        <v>0</v>
      </c>
    </row>
    <row r="257" spans="1:3" x14ac:dyDescent="0.25">
      <c r="A257" s="1">
        <v>256</v>
      </c>
      <c r="B257" s="4">
        <v>744</v>
      </c>
      <c r="C257" s="1">
        <v>0</v>
      </c>
    </row>
    <row r="258" spans="1:3" x14ac:dyDescent="0.25">
      <c r="A258" s="1">
        <v>257</v>
      </c>
      <c r="B258" s="4">
        <v>583</v>
      </c>
      <c r="C258" s="1">
        <v>0</v>
      </c>
    </row>
    <row r="259" spans="1:3" x14ac:dyDescent="0.25">
      <c r="A259" s="1">
        <v>258</v>
      </c>
      <c r="B259" s="4">
        <v>730</v>
      </c>
      <c r="C259" s="1">
        <v>0</v>
      </c>
    </row>
    <row r="260" spans="1:3" x14ac:dyDescent="0.25">
      <c r="A260" s="1">
        <v>259</v>
      </c>
      <c r="B260" s="4">
        <v>1116</v>
      </c>
      <c r="C260" s="1">
        <v>1</v>
      </c>
    </row>
    <row r="261" spans="1:3" x14ac:dyDescent="0.25">
      <c r="A261" s="1">
        <v>260</v>
      </c>
      <c r="B261" s="4">
        <v>734</v>
      </c>
      <c r="C261" s="1">
        <v>0</v>
      </c>
    </row>
    <row r="262" spans="1:3" x14ac:dyDescent="0.25">
      <c r="A262" s="1">
        <v>261</v>
      </c>
      <c r="B262" s="4">
        <v>2578</v>
      </c>
      <c r="C262" s="1">
        <v>1</v>
      </c>
    </row>
    <row r="263" spans="1:3" x14ac:dyDescent="0.25">
      <c r="A263" s="1">
        <v>262</v>
      </c>
      <c r="B263" s="4">
        <v>589</v>
      </c>
      <c r="C263" s="1">
        <v>0</v>
      </c>
    </row>
    <row r="264" spans="1:3" x14ac:dyDescent="0.25">
      <c r="A264" s="1">
        <v>263</v>
      </c>
      <c r="B264" s="4">
        <v>540</v>
      </c>
      <c r="C264" s="1">
        <v>0</v>
      </c>
    </row>
    <row r="265" spans="1:3" x14ac:dyDescent="0.25">
      <c r="A265" s="1">
        <v>264</v>
      </c>
      <c r="B265" s="4">
        <v>340</v>
      </c>
      <c r="C265" s="1">
        <v>0</v>
      </c>
    </row>
    <row r="266" spans="1:3" x14ac:dyDescent="0.25">
      <c r="A266" s="1">
        <v>265</v>
      </c>
      <c r="B266" s="4">
        <v>967</v>
      </c>
      <c r="C266" s="1">
        <v>0</v>
      </c>
    </row>
    <row r="267" spans="1:3" x14ac:dyDescent="0.25">
      <c r="A267" s="1">
        <v>266</v>
      </c>
      <c r="B267" s="4">
        <v>542</v>
      </c>
      <c r="C267" s="1">
        <v>0</v>
      </c>
    </row>
    <row r="268" spans="1:3" x14ac:dyDescent="0.25">
      <c r="A268" s="1">
        <v>267</v>
      </c>
      <c r="B268" s="4">
        <v>335</v>
      </c>
      <c r="C268" s="1">
        <v>0</v>
      </c>
    </row>
    <row r="269" spans="1:3" x14ac:dyDescent="0.25">
      <c r="A269" s="1">
        <v>268</v>
      </c>
      <c r="B269" s="4">
        <v>1078</v>
      </c>
      <c r="C269" s="1">
        <v>1</v>
      </c>
    </row>
    <row r="270" spans="1:3" x14ac:dyDescent="0.25">
      <c r="A270" s="1">
        <v>269</v>
      </c>
      <c r="B270" s="4">
        <v>377</v>
      </c>
      <c r="C270" s="1">
        <v>0</v>
      </c>
    </row>
    <row r="271" spans="1:3" x14ac:dyDescent="0.25">
      <c r="A271" s="1">
        <v>270</v>
      </c>
      <c r="B271" s="4">
        <v>263</v>
      </c>
      <c r="C271" s="1">
        <v>0</v>
      </c>
    </row>
    <row r="272" spans="1:3" x14ac:dyDescent="0.25">
      <c r="A272" s="1">
        <v>271</v>
      </c>
      <c r="B272" s="4">
        <v>323</v>
      </c>
      <c r="C272" s="1">
        <v>0</v>
      </c>
    </row>
    <row r="273" spans="1:3" x14ac:dyDescent="0.25">
      <c r="A273" s="1">
        <v>272</v>
      </c>
      <c r="B273" s="4">
        <v>221</v>
      </c>
      <c r="C273" s="1">
        <v>0</v>
      </c>
    </row>
    <row r="274" spans="1:3" x14ac:dyDescent="0.25">
      <c r="A274" s="1">
        <v>273</v>
      </c>
      <c r="B274" s="4">
        <v>467</v>
      </c>
      <c r="C274" s="1">
        <v>0</v>
      </c>
    </row>
    <row r="275" spans="1:3" x14ac:dyDescent="0.25">
      <c r="A275" s="1">
        <v>274</v>
      </c>
      <c r="B275" s="4">
        <v>1923</v>
      </c>
      <c r="C275" s="1">
        <v>1</v>
      </c>
    </row>
    <row r="276" spans="1:3" x14ac:dyDescent="0.25">
      <c r="A276" s="1">
        <v>275</v>
      </c>
      <c r="B276" s="4">
        <v>313</v>
      </c>
      <c r="C276" s="1">
        <v>0</v>
      </c>
    </row>
    <row r="277" spans="1:3" x14ac:dyDescent="0.25">
      <c r="A277" s="1">
        <v>276</v>
      </c>
      <c r="B277" s="4">
        <v>493</v>
      </c>
      <c r="C277" s="1">
        <v>0</v>
      </c>
    </row>
    <row r="278" spans="1:3" x14ac:dyDescent="0.25">
      <c r="A278" s="1">
        <v>277</v>
      </c>
      <c r="B278" s="4">
        <v>565</v>
      </c>
      <c r="C278" s="1">
        <v>0</v>
      </c>
    </row>
    <row r="279" spans="1:3" x14ac:dyDescent="0.25">
      <c r="A279" s="1">
        <v>278</v>
      </c>
      <c r="B279" s="4">
        <v>424</v>
      </c>
      <c r="C279" s="1">
        <v>0</v>
      </c>
    </row>
    <row r="280" spans="1:3" x14ac:dyDescent="0.25">
      <c r="A280" s="1">
        <v>279</v>
      </c>
      <c r="B280" s="4">
        <v>282</v>
      </c>
      <c r="C280" s="1">
        <v>0</v>
      </c>
    </row>
    <row r="281" spans="1:3" x14ac:dyDescent="0.25">
      <c r="A281" s="1">
        <v>280</v>
      </c>
      <c r="B281" s="4">
        <v>401</v>
      </c>
      <c r="C281" s="1">
        <v>0</v>
      </c>
    </row>
    <row r="282" spans="1:3" x14ac:dyDescent="0.25">
      <c r="A282" s="1">
        <v>281</v>
      </c>
      <c r="B282" s="4">
        <v>630</v>
      </c>
      <c r="C282" s="1">
        <v>0</v>
      </c>
    </row>
    <row r="283" spans="1:3" x14ac:dyDescent="0.25">
      <c r="A283" s="1">
        <v>282</v>
      </c>
      <c r="B283" s="4">
        <v>609</v>
      </c>
      <c r="C283" s="1">
        <v>0</v>
      </c>
    </row>
    <row r="284" spans="1:3" x14ac:dyDescent="0.25">
      <c r="A284" s="1">
        <v>283</v>
      </c>
      <c r="B284" s="4">
        <v>982</v>
      </c>
      <c r="C284" s="1">
        <v>1</v>
      </c>
    </row>
    <row r="285" spans="1:3" x14ac:dyDescent="0.25">
      <c r="A285" s="1">
        <v>284</v>
      </c>
      <c r="B285" s="4">
        <v>987</v>
      </c>
      <c r="C285" s="1">
        <v>1</v>
      </c>
    </row>
    <row r="286" spans="1:3" x14ac:dyDescent="0.25">
      <c r="A286" s="1">
        <v>285</v>
      </c>
      <c r="B286" s="4">
        <v>893</v>
      </c>
      <c r="C286" s="1">
        <v>1</v>
      </c>
    </row>
    <row r="287" spans="1:3" x14ac:dyDescent="0.25">
      <c r="A287" s="1">
        <v>286</v>
      </c>
      <c r="B287" s="4">
        <v>871</v>
      </c>
      <c r="C287" s="1">
        <v>1</v>
      </c>
    </row>
    <row r="288" spans="1:3" x14ac:dyDescent="0.25">
      <c r="A288" s="1">
        <v>287</v>
      </c>
      <c r="B288" s="4">
        <v>468</v>
      </c>
      <c r="C288" s="1">
        <v>0</v>
      </c>
    </row>
    <row r="289" spans="1:3" x14ac:dyDescent="0.25">
      <c r="A289" s="1">
        <v>288</v>
      </c>
      <c r="B289" s="4">
        <v>1102</v>
      </c>
      <c r="C289" s="1">
        <v>1</v>
      </c>
    </row>
    <row r="290" spans="1:3" x14ac:dyDescent="0.25">
      <c r="A290" s="1">
        <v>289</v>
      </c>
      <c r="B290" s="4">
        <v>377</v>
      </c>
      <c r="C290" s="1">
        <v>0</v>
      </c>
    </row>
    <row r="291" spans="1:3" x14ac:dyDescent="0.25">
      <c r="A291" s="1">
        <v>290</v>
      </c>
      <c r="B291" s="4">
        <v>559</v>
      </c>
      <c r="C291" s="1">
        <v>0</v>
      </c>
    </row>
    <row r="292" spans="1:3" x14ac:dyDescent="0.25">
      <c r="A292" s="1">
        <v>291</v>
      </c>
      <c r="B292" s="4">
        <v>323</v>
      </c>
      <c r="C292" s="1">
        <v>0</v>
      </c>
    </row>
    <row r="293" spans="1:3" x14ac:dyDescent="0.25">
      <c r="A293" s="1">
        <v>292</v>
      </c>
      <c r="B293" s="4">
        <v>571</v>
      </c>
      <c r="C293" s="1">
        <v>0</v>
      </c>
    </row>
    <row r="294" spans="1:3" x14ac:dyDescent="0.25">
      <c r="A294" s="1">
        <v>293</v>
      </c>
      <c r="B294" s="4">
        <v>364</v>
      </c>
      <c r="C294" s="1">
        <v>0</v>
      </c>
    </row>
    <row r="295" spans="1:3" x14ac:dyDescent="0.25">
      <c r="A295" s="1">
        <v>294</v>
      </c>
      <c r="B295" s="4">
        <v>902</v>
      </c>
      <c r="C295" s="1">
        <v>1</v>
      </c>
    </row>
    <row r="296" spans="1:3" x14ac:dyDescent="0.25">
      <c r="A296" s="1">
        <v>295</v>
      </c>
      <c r="B296" s="4">
        <v>1375</v>
      </c>
      <c r="C296" s="1">
        <v>1</v>
      </c>
    </row>
    <row r="297" spans="1:3" x14ac:dyDescent="0.25">
      <c r="A297" s="1">
        <v>296</v>
      </c>
      <c r="B297" s="4">
        <v>268</v>
      </c>
      <c r="C297" s="1">
        <v>0</v>
      </c>
    </row>
    <row r="298" spans="1:3" x14ac:dyDescent="0.25">
      <c r="A298" s="1">
        <v>297</v>
      </c>
      <c r="B298" s="4">
        <v>1337</v>
      </c>
      <c r="C298" s="1">
        <v>1</v>
      </c>
    </row>
    <row r="299" spans="1:3" x14ac:dyDescent="0.25">
      <c r="A299" s="1">
        <v>298</v>
      </c>
      <c r="B299" s="4">
        <v>305</v>
      </c>
      <c r="C299" s="1">
        <v>0</v>
      </c>
    </row>
    <row r="300" spans="1:3" x14ac:dyDescent="0.25">
      <c r="A300" s="1">
        <v>299</v>
      </c>
      <c r="B300" s="4">
        <v>478</v>
      </c>
      <c r="C300" s="1">
        <v>0</v>
      </c>
    </row>
    <row r="301" spans="1:3" x14ac:dyDescent="0.25">
      <c r="A301" s="1">
        <v>300</v>
      </c>
      <c r="B301" s="4">
        <v>572</v>
      </c>
      <c r="C301" s="1">
        <v>0</v>
      </c>
    </row>
    <row r="302" spans="1:3" x14ac:dyDescent="0.25">
      <c r="A302" s="1">
        <v>301</v>
      </c>
      <c r="B302" s="4">
        <v>805</v>
      </c>
      <c r="C302" s="1">
        <v>1</v>
      </c>
    </row>
    <row r="303" spans="1:3" x14ac:dyDescent="0.25">
      <c r="A303" s="1">
        <v>302</v>
      </c>
      <c r="B303" s="4">
        <v>365</v>
      </c>
      <c r="C303" s="1">
        <v>0</v>
      </c>
    </row>
    <row r="304" spans="1:3" x14ac:dyDescent="0.25">
      <c r="A304" s="1">
        <v>303</v>
      </c>
      <c r="B304" s="4">
        <v>1365</v>
      </c>
      <c r="C304" s="1">
        <v>1</v>
      </c>
    </row>
    <row r="305" spans="1:3" x14ac:dyDescent="0.25">
      <c r="A305" s="1">
        <v>304</v>
      </c>
      <c r="B305" s="4">
        <v>136</v>
      </c>
      <c r="C305" s="1">
        <v>0</v>
      </c>
    </row>
    <row r="306" spans="1:3" x14ac:dyDescent="0.25">
      <c r="A306" s="1">
        <v>305</v>
      </c>
      <c r="B306" s="4">
        <v>887</v>
      </c>
      <c r="C306" s="1">
        <v>1</v>
      </c>
    </row>
    <row r="307" spans="1:3" x14ac:dyDescent="0.25">
      <c r="A307" s="1">
        <v>306</v>
      </c>
      <c r="B307" s="4">
        <v>609</v>
      </c>
      <c r="C307" s="1">
        <v>0</v>
      </c>
    </row>
    <row r="308" spans="1:3" x14ac:dyDescent="0.25">
      <c r="A308" s="1">
        <v>307</v>
      </c>
      <c r="B308" s="4">
        <v>375</v>
      </c>
      <c r="C308" s="1">
        <v>0</v>
      </c>
    </row>
    <row r="309" spans="1:3" x14ac:dyDescent="0.25">
      <c r="A309" s="1">
        <v>308</v>
      </c>
      <c r="B309" s="4">
        <v>474</v>
      </c>
      <c r="C309" s="1">
        <v>0</v>
      </c>
    </row>
    <row r="310" spans="1:3" x14ac:dyDescent="0.25">
      <c r="A310" s="1">
        <v>309</v>
      </c>
      <c r="B310" s="4">
        <v>523</v>
      </c>
      <c r="C310" s="1">
        <v>0</v>
      </c>
    </row>
    <row r="311" spans="1:3" x14ac:dyDescent="0.25">
      <c r="A311" s="1">
        <v>310</v>
      </c>
      <c r="B311" s="4">
        <v>682</v>
      </c>
      <c r="C311" s="1">
        <v>0</v>
      </c>
    </row>
    <row r="312" spans="1:3" x14ac:dyDescent="0.25">
      <c r="A312" s="1">
        <v>311</v>
      </c>
      <c r="B312" s="4">
        <v>620</v>
      </c>
      <c r="C312" s="1">
        <v>0</v>
      </c>
    </row>
    <row r="313" spans="1:3" x14ac:dyDescent="0.25">
      <c r="A313" s="1">
        <v>312</v>
      </c>
      <c r="B313" s="4">
        <v>1051</v>
      </c>
      <c r="C313" s="1">
        <v>1</v>
      </c>
    </row>
    <row r="314" spans="1:3" x14ac:dyDescent="0.25">
      <c r="A314" s="1">
        <v>313</v>
      </c>
      <c r="B314" s="4">
        <v>650</v>
      </c>
      <c r="C314" s="1">
        <v>0</v>
      </c>
    </row>
    <row r="315" spans="1:3" x14ac:dyDescent="0.25">
      <c r="A315" s="1">
        <v>314</v>
      </c>
      <c r="B315" s="4">
        <v>853</v>
      </c>
      <c r="C315" s="1">
        <v>1</v>
      </c>
    </row>
    <row r="316" spans="1:3" x14ac:dyDescent="0.25">
      <c r="A316" s="1">
        <v>315</v>
      </c>
      <c r="B316" s="4">
        <v>634</v>
      </c>
      <c r="C316" s="1">
        <v>0</v>
      </c>
    </row>
    <row r="317" spans="1:3" x14ac:dyDescent="0.25">
      <c r="A317" s="1">
        <v>316</v>
      </c>
      <c r="B317" s="4">
        <v>383</v>
      </c>
      <c r="C317" s="1">
        <v>0</v>
      </c>
    </row>
    <row r="318" spans="1:3" x14ac:dyDescent="0.25">
      <c r="A318" s="1">
        <v>317</v>
      </c>
      <c r="B318" s="4">
        <v>1299</v>
      </c>
      <c r="C318" s="1">
        <v>1</v>
      </c>
    </row>
    <row r="319" spans="1:3" x14ac:dyDescent="0.25">
      <c r="A319" s="1">
        <v>318</v>
      </c>
      <c r="B319" s="4">
        <v>390</v>
      </c>
      <c r="C319" s="1">
        <v>0</v>
      </c>
    </row>
    <row r="320" spans="1:3" x14ac:dyDescent="0.25">
      <c r="A320" s="1">
        <v>319</v>
      </c>
      <c r="B320" s="4">
        <v>963</v>
      </c>
      <c r="C320" s="1">
        <v>1</v>
      </c>
    </row>
    <row r="321" spans="1:3" x14ac:dyDescent="0.25">
      <c r="A321" s="1">
        <v>320</v>
      </c>
      <c r="B321" s="4">
        <v>164</v>
      </c>
      <c r="C321" s="1">
        <v>0</v>
      </c>
    </row>
    <row r="322" spans="1:3" x14ac:dyDescent="0.25">
      <c r="A322" s="1">
        <v>321</v>
      </c>
      <c r="B322" s="4">
        <v>984</v>
      </c>
      <c r="C322" s="1">
        <v>1</v>
      </c>
    </row>
    <row r="323" spans="1:3" x14ac:dyDescent="0.25">
      <c r="A323" s="1">
        <v>322</v>
      </c>
      <c r="B323" s="4">
        <v>388</v>
      </c>
      <c r="C323" s="1">
        <v>0</v>
      </c>
    </row>
    <row r="324" spans="1:3" x14ac:dyDescent="0.25">
      <c r="A324" s="1">
        <v>323</v>
      </c>
      <c r="B324" s="4">
        <v>654</v>
      </c>
      <c r="C324" s="1">
        <v>0</v>
      </c>
    </row>
    <row r="325" spans="1:3" x14ac:dyDescent="0.25">
      <c r="A325" s="1">
        <v>324</v>
      </c>
      <c r="B325" s="4">
        <v>494</v>
      </c>
      <c r="C325" s="1">
        <v>0</v>
      </c>
    </row>
    <row r="326" spans="1:3" x14ac:dyDescent="0.25">
      <c r="A326" s="1">
        <v>325</v>
      </c>
      <c r="B326" s="4">
        <v>445</v>
      </c>
      <c r="C326" s="1">
        <v>0</v>
      </c>
    </row>
    <row r="327" spans="1:3" x14ac:dyDescent="0.25">
      <c r="A327" s="1">
        <v>326</v>
      </c>
      <c r="B327" s="4">
        <v>666</v>
      </c>
      <c r="C327" s="1">
        <v>0</v>
      </c>
    </row>
    <row r="328" spans="1:3" x14ac:dyDescent="0.25">
      <c r="A328" s="1">
        <v>327</v>
      </c>
      <c r="B328" s="4">
        <v>605</v>
      </c>
      <c r="C328" s="1">
        <v>0</v>
      </c>
    </row>
    <row r="329" spans="1:3" x14ac:dyDescent="0.25">
      <c r="A329" s="1">
        <v>328</v>
      </c>
      <c r="B329" s="4">
        <v>753</v>
      </c>
      <c r="C329" s="1">
        <v>0</v>
      </c>
    </row>
    <row r="330" spans="1:3" x14ac:dyDescent="0.25">
      <c r="A330" s="1">
        <v>329</v>
      </c>
      <c r="B330" s="4">
        <v>659</v>
      </c>
      <c r="C330" s="1">
        <v>0</v>
      </c>
    </row>
    <row r="331" spans="1:3" x14ac:dyDescent="0.25">
      <c r="A331" s="1">
        <v>330</v>
      </c>
      <c r="B331" s="4">
        <v>339</v>
      </c>
      <c r="C331" s="1">
        <v>0</v>
      </c>
    </row>
    <row r="332" spans="1:3" x14ac:dyDescent="0.25">
      <c r="A332" s="1">
        <v>331</v>
      </c>
      <c r="B332" s="4">
        <v>575</v>
      </c>
      <c r="C332" s="1">
        <v>0</v>
      </c>
    </row>
    <row r="333" spans="1:3" x14ac:dyDescent="0.25">
      <c r="A333" s="1">
        <v>332</v>
      </c>
      <c r="B333" s="4">
        <v>879</v>
      </c>
      <c r="C333" s="1">
        <v>0</v>
      </c>
    </row>
    <row r="334" spans="1:3" x14ac:dyDescent="0.25">
      <c r="A334" s="1">
        <v>333</v>
      </c>
      <c r="B334" s="4">
        <v>783</v>
      </c>
      <c r="C334" s="1">
        <v>0</v>
      </c>
    </row>
    <row r="335" spans="1:3" x14ac:dyDescent="0.25">
      <c r="A335" s="1">
        <v>334</v>
      </c>
      <c r="B335" s="4">
        <v>579</v>
      </c>
      <c r="C335" s="1">
        <v>0</v>
      </c>
    </row>
    <row r="336" spans="1:3" x14ac:dyDescent="0.25">
      <c r="A336" s="1">
        <v>335</v>
      </c>
      <c r="B336" s="4">
        <v>500</v>
      </c>
      <c r="C336" s="1">
        <v>0</v>
      </c>
    </row>
    <row r="337" spans="1:3" x14ac:dyDescent="0.25">
      <c r="A337" s="1">
        <v>336</v>
      </c>
      <c r="B337" s="4">
        <v>741</v>
      </c>
      <c r="C337" s="1">
        <v>0</v>
      </c>
    </row>
    <row r="338" spans="1:3" x14ac:dyDescent="0.25">
      <c r="A338" s="1">
        <v>337</v>
      </c>
      <c r="B338" s="4">
        <v>770</v>
      </c>
      <c r="C338" s="1">
        <v>0</v>
      </c>
    </row>
    <row r="339" spans="1:3" x14ac:dyDescent="0.25">
      <c r="A339" s="1">
        <v>338</v>
      </c>
      <c r="B339" s="4">
        <v>176</v>
      </c>
      <c r="C339" s="1">
        <v>0</v>
      </c>
    </row>
    <row r="340" spans="1:3" x14ac:dyDescent="0.25">
      <c r="A340" s="1">
        <v>339</v>
      </c>
      <c r="B340" s="4">
        <v>898</v>
      </c>
      <c r="C340" s="1">
        <v>1</v>
      </c>
    </row>
    <row r="341" spans="1:3" x14ac:dyDescent="0.25">
      <c r="A341" s="1">
        <v>340</v>
      </c>
      <c r="B341" s="4">
        <v>916</v>
      </c>
      <c r="C341" s="1">
        <v>1</v>
      </c>
    </row>
    <row r="342" spans="1:3" x14ac:dyDescent="0.25">
      <c r="A342" s="1">
        <v>341</v>
      </c>
      <c r="B342" s="4">
        <v>827</v>
      </c>
      <c r="C342" s="1">
        <v>0</v>
      </c>
    </row>
    <row r="343" spans="1:3" x14ac:dyDescent="0.25">
      <c r="A343" s="1">
        <v>342</v>
      </c>
      <c r="B343" s="4">
        <v>987</v>
      </c>
      <c r="C343" s="1">
        <v>1</v>
      </c>
    </row>
    <row r="344" spans="1:3" x14ac:dyDescent="0.25">
      <c r="A344" s="1">
        <v>343</v>
      </c>
      <c r="B344" s="4">
        <v>890</v>
      </c>
      <c r="C344" s="1">
        <v>1</v>
      </c>
    </row>
    <row r="345" spans="1:3" x14ac:dyDescent="0.25">
      <c r="A345" s="1">
        <v>344</v>
      </c>
      <c r="B345" s="4">
        <v>1247</v>
      </c>
      <c r="C345" s="1">
        <v>1</v>
      </c>
    </row>
    <row r="346" spans="1:3" x14ac:dyDescent="0.25">
      <c r="A346" s="1">
        <v>345</v>
      </c>
      <c r="B346" s="4">
        <v>720</v>
      </c>
      <c r="C346" s="1">
        <v>0</v>
      </c>
    </row>
    <row r="347" spans="1:3" x14ac:dyDescent="0.25">
      <c r="A347" s="1">
        <v>346</v>
      </c>
      <c r="B347" s="4">
        <v>1710</v>
      </c>
      <c r="C347" s="1">
        <v>1</v>
      </c>
    </row>
    <row r="348" spans="1:3" x14ac:dyDescent="0.25">
      <c r="A348" s="1">
        <v>347</v>
      </c>
      <c r="B348" s="4">
        <v>439</v>
      </c>
      <c r="C348" s="1">
        <v>0</v>
      </c>
    </row>
    <row r="349" spans="1:3" x14ac:dyDescent="0.25">
      <c r="A349" s="1">
        <v>348</v>
      </c>
      <c r="B349" s="4">
        <v>784</v>
      </c>
      <c r="C349" s="1">
        <v>1</v>
      </c>
    </row>
    <row r="350" spans="1:3" x14ac:dyDescent="0.25">
      <c r="A350" s="1">
        <v>349</v>
      </c>
      <c r="B350" s="4">
        <v>1335</v>
      </c>
      <c r="C350" s="1">
        <v>1</v>
      </c>
    </row>
    <row r="351" spans="1:3" x14ac:dyDescent="0.25">
      <c r="A351" s="1">
        <v>350</v>
      </c>
      <c r="B351" s="4">
        <v>722</v>
      </c>
      <c r="C351" s="1">
        <v>0</v>
      </c>
    </row>
    <row r="352" spans="1:3" x14ac:dyDescent="0.25">
      <c r="A352" s="1">
        <v>351</v>
      </c>
      <c r="B352" s="4">
        <v>375</v>
      </c>
      <c r="C352" s="1">
        <v>0</v>
      </c>
    </row>
    <row r="353" spans="1:3" x14ac:dyDescent="0.25">
      <c r="A353" s="1">
        <v>352</v>
      </c>
      <c r="B353" s="4">
        <v>491</v>
      </c>
      <c r="C353" s="1">
        <v>0</v>
      </c>
    </row>
    <row r="354" spans="1:3" x14ac:dyDescent="0.25">
      <c r="A354" s="1">
        <v>353</v>
      </c>
      <c r="B354" s="4">
        <v>373</v>
      </c>
      <c r="C354" s="1">
        <v>0</v>
      </c>
    </row>
    <row r="355" spans="1:3" x14ac:dyDescent="0.25">
      <c r="A355" s="1">
        <v>354</v>
      </c>
      <c r="B355" s="4">
        <v>673</v>
      </c>
      <c r="C355" s="1">
        <v>1</v>
      </c>
    </row>
    <row r="356" spans="1:3" x14ac:dyDescent="0.25">
      <c r="A356" s="1">
        <v>355</v>
      </c>
      <c r="B356" s="4">
        <v>1327</v>
      </c>
      <c r="C356" s="1">
        <v>1</v>
      </c>
    </row>
    <row r="357" spans="1:3" x14ac:dyDescent="0.25">
      <c r="A357" s="1">
        <v>356</v>
      </c>
      <c r="B357" s="4">
        <v>482</v>
      </c>
      <c r="C357" s="1">
        <v>0</v>
      </c>
    </row>
    <row r="358" spans="1:3" x14ac:dyDescent="0.25">
      <c r="A358" s="1">
        <v>357</v>
      </c>
      <c r="B358" s="4">
        <v>857</v>
      </c>
      <c r="C358" s="1">
        <v>1</v>
      </c>
    </row>
    <row r="359" spans="1:3" x14ac:dyDescent="0.25">
      <c r="A359" s="1">
        <v>358</v>
      </c>
      <c r="B359" s="4">
        <v>545</v>
      </c>
      <c r="C359" s="1">
        <v>0</v>
      </c>
    </row>
    <row r="360" spans="1:3" x14ac:dyDescent="0.25">
      <c r="A360" s="1">
        <v>359</v>
      </c>
      <c r="B360" s="4">
        <v>1601</v>
      </c>
      <c r="C360" s="1">
        <v>1</v>
      </c>
    </row>
    <row r="361" spans="1:3" x14ac:dyDescent="0.25">
      <c r="A361" s="1">
        <v>360</v>
      </c>
      <c r="B361" s="4">
        <v>537</v>
      </c>
      <c r="C361" s="1">
        <v>0</v>
      </c>
    </row>
    <row r="362" spans="1:3" x14ac:dyDescent="0.25">
      <c r="A362" s="1">
        <v>361</v>
      </c>
      <c r="B362" s="4">
        <v>558</v>
      </c>
      <c r="C362" s="1">
        <v>0</v>
      </c>
    </row>
    <row r="363" spans="1:3" x14ac:dyDescent="0.25">
      <c r="A363" s="1">
        <v>362</v>
      </c>
      <c r="B363" s="4">
        <v>512</v>
      </c>
      <c r="C363" s="1">
        <v>0</v>
      </c>
    </row>
    <row r="364" spans="1:3" x14ac:dyDescent="0.25">
      <c r="A364" s="1">
        <v>363</v>
      </c>
      <c r="B364" s="4">
        <v>536</v>
      </c>
      <c r="C364" s="1">
        <v>0</v>
      </c>
    </row>
    <row r="365" spans="1:3" x14ac:dyDescent="0.25">
      <c r="A365" s="1">
        <v>364</v>
      </c>
      <c r="B365" s="4">
        <v>1508</v>
      </c>
      <c r="C365" s="1">
        <v>1</v>
      </c>
    </row>
    <row r="366" spans="1:3" x14ac:dyDescent="0.25">
      <c r="A366" s="1">
        <v>365</v>
      </c>
      <c r="B366" s="4">
        <v>594</v>
      </c>
      <c r="C366" s="1">
        <v>0</v>
      </c>
    </row>
    <row r="367" spans="1:3" x14ac:dyDescent="0.25">
      <c r="A367" s="1">
        <v>366</v>
      </c>
      <c r="B367" s="4">
        <v>1108</v>
      </c>
      <c r="C367" s="1">
        <v>1</v>
      </c>
    </row>
    <row r="368" spans="1:3" x14ac:dyDescent="0.25">
      <c r="A368" s="1">
        <v>367</v>
      </c>
      <c r="B368" s="4">
        <v>1140</v>
      </c>
      <c r="C368" s="1">
        <v>1</v>
      </c>
    </row>
    <row r="369" spans="1:3" x14ac:dyDescent="0.25">
      <c r="A369" s="1">
        <v>368</v>
      </c>
      <c r="B369" s="4">
        <v>397</v>
      </c>
      <c r="C369" s="1">
        <v>0</v>
      </c>
    </row>
    <row r="370" spans="1:3" x14ac:dyDescent="0.25">
      <c r="A370" s="1">
        <v>369</v>
      </c>
      <c r="B370" s="4">
        <v>263</v>
      </c>
      <c r="C370" s="1">
        <v>0</v>
      </c>
    </row>
    <row r="371" spans="1:3" x14ac:dyDescent="0.25">
      <c r="A371" s="1">
        <v>370</v>
      </c>
      <c r="B371" s="4">
        <v>243</v>
      </c>
      <c r="C371" s="1">
        <v>0</v>
      </c>
    </row>
    <row r="372" spans="1:3" x14ac:dyDescent="0.25">
      <c r="A372" s="1">
        <v>371</v>
      </c>
      <c r="B372" s="4">
        <v>1578</v>
      </c>
      <c r="C372" s="1">
        <v>1</v>
      </c>
    </row>
    <row r="373" spans="1:3" x14ac:dyDescent="0.25">
      <c r="A373" s="1">
        <v>372</v>
      </c>
      <c r="B373" s="4">
        <v>405</v>
      </c>
      <c r="C373" s="1">
        <v>0</v>
      </c>
    </row>
    <row r="374" spans="1:3" x14ac:dyDescent="0.25">
      <c r="A374" s="1">
        <v>373</v>
      </c>
      <c r="B374" s="4">
        <v>1312</v>
      </c>
      <c r="C374" s="1">
        <v>1</v>
      </c>
    </row>
    <row r="375" spans="1:3" x14ac:dyDescent="0.25">
      <c r="A375" s="1">
        <v>374</v>
      </c>
      <c r="B375" s="4">
        <v>684</v>
      </c>
      <c r="C375" s="1">
        <v>0</v>
      </c>
    </row>
    <row r="376" spans="1:3" x14ac:dyDescent="0.25">
      <c r="A376" s="1">
        <v>375</v>
      </c>
      <c r="B376" s="4">
        <v>1329</v>
      </c>
      <c r="C376" s="1">
        <v>1</v>
      </c>
    </row>
    <row r="377" spans="1:3" x14ac:dyDescent="0.25">
      <c r="A377" s="1">
        <v>376</v>
      </c>
      <c r="B377" s="4">
        <v>902</v>
      </c>
      <c r="C377" s="1">
        <v>1</v>
      </c>
    </row>
    <row r="378" spans="1:3" x14ac:dyDescent="0.25">
      <c r="A378" s="1">
        <v>377</v>
      </c>
      <c r="B378" s="4">
        <v>658</v>
      </c>
      <c r="C378" s="1">
        <v>0</v>
      </c>
    </row>
    <row r="379" spans="1:3" x14ac:dyDescent="0.25">
      <c r="A379" s="1">
        <v>378</v>
      </c>
      <c r="B379" s="4">
        <v>1138</v>
      </c>
      <c r="C379" s="1">
        <v>1</v>
      </c>
    </row>
    <row r="380" spans="1:3" x14ac:dyDescent="0.25">
      <c r="A380" s="1">
        <v>379</v>
      </c>
      <c r="B380" s="4">
        <v>162</v>
      </c>
      <c r="C380" s="1">
        <v>0</v>
      </c>
    </row>
    <row r="381" spans="1:3" x14ac:dyDescent="0.25">
      <c r="A381" s="1">
        <v>380</v>
      </c>
      <c r="B381" s="4">
        <v>690</v>
      </c>
      <c r="C381" s="1">
        <v>0</v>
      </c>
    </row>
    <row r="382" spans="1:3" x14ac:dyDescent="0.25">
      <c r="A382" s="1">
        <v>381</v>
      </c>
      <c r="B382" s="4">
        <v>921</v>
      </c>
      <c r="C382" s="1">
        <v>1</v>
      </c>
    </row>
    <row r="383" spans="1:3" x14ac:dyDescent="0.25">
      <c r="A383" s="1">
        <v>382</v>
      </c>
      <c r="B383" s="4">
        <v>559</v>
      </c>
      <c r="C383" s="1">
        <v>0</v>
      </c>
    </row>
    <row r="384" spans="1:3" x14ac:dyDescent="0.25">
      <c r="A384" s="1">
        <v>383</v>
      </c>
      <c r="B384" s="4">
        <v>1307</v>
      </c>
      <c r="C384" s="1">
        <v>1</v>
      </c>
    </row>
    <row r="385" spans="1:3" x14ac:dyDescent="0.25">
      <c r="A385" s="1">
        <v>384</v>
      </c>
      <c r="B385" s="4">
        <v>239</v>
      </c>
      <c r="C385" s="1">
        <v>0</v>
      </c>
    </row>
    <row r="386" spans="1:3" x14ac:dyDescent="0.25">
      <c r="A386" s="1">
        <v>385</v>
      </c>
      <c r="B386" s="4">
        <v>540</v>
      </c>
      <c r="C386" s="1">
        <v>0</v>
      </c>
    </row>
    <row r="387" spans="1:3" x14ac:dyDescent="0.25">
      <c r="A387" s="1">
        <v>386</v>
      </c>
      <c r="B387" s="4">
        <v>417</v>
      </c>
      <c r="C387" s="1">
        <v>0</v>
      </c>
    </row>
    <row r="388" spans="1:3" x14ac:dyDescent="0.25">
      <c r="A388" s="1">
        <v>387</v>
      </c>
      <c r="B388" s="4">
        <v>1666</v>
      </c>
      <c r="C388" s="1">
        <v>1</v>
      </c>
    </row>
    <row r="389" spans="1:3" x14ac:dyDescent="0.25">
      <c r="A389" s="1">
        <v>388</v>
      </c>
      <c r="B389" s="4">
        <v>793</v>
      </c>
      <c r="C389" s="1">
        <v>0</v>
      </c>
    </row>
    <row r="390" spans="1:3" x14ac:dyDescent="0.25">
      <c r="A390" s="1">
        <v>389</v>
      </c>
      <c r="B390" s="4">
        <v>944</v>
      </c>
      <c r="C390" s="1">
        <v>1</v>
      </c>
    </row>
    <row r="391" spans="1:3" x14ac:dyDescent="0.25">
      <c r="A391" s="1">
        <v>390</v>
      </c>
      <c r="B391" s="4">
        <v>348</v>
      </c>
      <c r="C391" s="1">
        <v>0</v>
      </c>
    </row>
    <row r="392" spans="1:3" x14ac:dyDescent="0.25">
      <c r="A392" s="1">
        <v>391</v>
      </c>
      <c r="B392" s="4">
        <v>455</v>
      </c>
      <c r="C392" s="1">
        <v>0</v>
      </c>
    </row>
    <row r="393" spans="1:3" x14ac:dyDescent="0.25">
      <c r="A393" s="1">
        <v>392</v>
      </c>
      <c r="B393" s="4">
        <v>1092</v>
      </c>
      <c r="C393" s="1">
        <v>1</v>
      </c>
    </row>
    <row r="394" spans="1:3" x14ac:dyDescent="0.25">
      <c r="A394" s="1">
        <v>393</v>
      </c>
      <c r="B394" s="4">
        <v>556</v>
      </c>
      <c r="C394" s="1">
        <v>0</v>
      </c>
    </row>
    <row r="395" spans="1:3" x14ac:dyDescent="0.25">
      <c r="A395" s="1">
        <v>394</v>
      </c>
      <c r="B395" s="4">
        <v>616</v>
      </c>
      <c r="C395" s="1">
        <v>0</v>
      </c>
    </row>
    <row r="396" spans="1:3" x14ac:dyDescent="0.25">
      <c r="A396" s="1">
        <v>395</v>
      </c>
      <c r="B396" s="4">
        <v>485</v>
      </c>
      <c r="C396" s="1">
        <v>0</v>
      </c>
    </row>
    <row r="397" spans="1:3" x14ac:dyDescent="0.25">
      <c r="A397" s="1">
        <v>396</v>
      </c>
      <c r="B397" s="4">
        <v>808</v>
      </c>
      <c r="C397" s="1">
        <v>1</v>
      </c>
    </row>
    <row r="398" spans="1:3" x14ac:dyDescent="0.25">
      <c r="A398" s="1">
        <v>397</v>
      </c>
      <c r="B398" s="4">
        <v>1196</v>
      </c>
      <c r="C398" s="1">
        <v>1</v>
      </c>
    </row>
    <row r="399" spans="1:3" x14ac:dyDescent="0.25">
      <c r="A399" s="1">
        <v>398</v>
      </c>
      <c r="B399" s="4">
        <v>238</v>
      </c>
      <c r="C399" s="1">
        <v>0</v>
      </c>
    </row>
    <row r="400" spans="1:3" x14ac:dyDescent="0.25">
      <c r="A400" s="1">
        <v>399</v>
      </c>
      <c r="B400" s="4">
        <v>891</v>
      </c>
      <c r="C400" s="1">
        <v>0</v>
      </c>
    </row>
    <row r="401" spans="1:3" x14ac:dyDescent="0.25">
      <c r="A401" s="1">
        <v>400</v>
      </c>
      <c r="B401" s="4">
        <v>552</v>
      </c>
      <c r="C401" s="1">
        <v>0</v>
      </c>
    </row>
    <row r="402" spans="1:3" x14ac:dyDescent="0.25">
      <c r="A402" s="1">
        <v>401</v>
      </c>
      <c r="B402" s="4">
        <v>1025</v>
      </c>
      <c r="C402" s="1">
        <v>1</v>
      </c>
    </row>
    <row r="403" spans="1:3" x14ac:dyDescent="0.25">
      <c r="A403" s="1">
        <v>402</v>
      </c>
      <c r="B403" s="4">
        <v>410</v>
      </c>
      <c r="C403" s="1">
        <v>0</v>
      </c>
    </row>
    <row r="404" spans="1:3" x14ac:dyDescent="0.25">
      <c r="A404" s="1">
        <v>403</v>
      </c>
      <c r="B404" s="4">
        <v>1265</v>
      </c>
      <c r="C404" s="1">
        <v>1</v>
      </c>
    </row>
    <row r="405" spans="1:3" x14ac:dyDescent="0.25">
      <c r="A405" s="1">
        <v>404</v>
      </c>
      <c r="B405" s="4">
        <v>324</v>
      </c>
      <c r="C405" s="1">
        <v>0</v>
      </c>
    </row>
    <row r="406" spans="1:3" x14ac:dyDescent="0.25">
      <c r="A406" s="1">
        <v>405</v>
      </c>
      <c r="B406" s="4">
        <v>924</v>
      </c>
      <c r="C406" s="1">
        <v>0</v>
      </c>
    </row>
    <row r="407" spans="1:3" x14ac:dyDescent="0.25">
      <c r="A407" s="1">
        <v>406</v>
      </c>
      <c r="B407" s="4">
        <v>1024</v>
      </c>
      <c r="C407" s="1">
        <v>1</v>
      </c>
    </row>
    <row r="408" spans="1:3" x14ac:dyDescent="0.25">
      <c r="A408" s="1">
        <v>407</v>
      </c>
      <c r="B408" s="4">
        <v>713</v>
      </c>
      <c r="C408" s="1">
        <v>0</v>
      </c>
    </row>
    <row r="409" spans="1:3" x14ac:dyDescent="0.25">
      <c r="A409" s="1">
        <v>408</v>
      </c>
      <c r="B409" s="4">
        <v>736</v>
      </c>
      <c r="C409" s="1">
        <v>0</v>
      </c>
    </row>
    <row r="410" spans="1:3" x14ac:dyDescent="0.25">
      <c r="A410" s="1">
        <v>409</v>
      </c>
      <c r="B410" s="4">
        <v>715</v>
      </c>
      <c r="C410" s="1">
        <v>1</v>
      </c>
    </row>
    <row r="411" spans="1:3" x14ac:dyDescent="0.25">
      <c r="A411" s="1">
        <v>410</v>
      </c>
      <c r="B411" s="4">
        <v>1298</v>
      </c>
      <c r="C411" s="1">
        <v>1</v>
      </c>
    </row>
    <row r="412" spans="1:3" x14ac:dyDescent="0.25">
      <c r="A412" s="1">
        <v>411</v>
      </c>
      <c r="B412" s="4">
        <v>553</v>
      </c>
      <c r="C412" s="1">
        <v>0</v>
      </c>
    </row>
    <row r="413" spans="1:3" x14ac:dyDescent="0.25">
      <c r="A413" s="1">
        <v>412</v>
      </c>
      <c r="B413" s="4">
        <v>391</v>
      </c>
      <c r="C413" s="1">
        <v>0</v>
      </c>
    </row>
    <row r="414" spans="1:3" x14ac:dyDescent="0.25">
      <c r="A414" s="1">
        <v>413</v>
      </c>
      <c r="B414" s="4">
        <v>716</v>
      </c>
      <c r="C414" s="1">
        <v>1</v>
      </c>
    </row>
    <row r="415" spans="1:3" x14ac:dyDescent="0.25">
      <c r="A415" s="1">
        <v>414</v>
      </c>
      <c r="B415" s="4">
        <v>609</v>
      </c>
      <c r="C415" s="1">
        <v>0</v>
      </c>
    </row>
    <row r="416" spans="1:3" x14ac:dyDescent="0.25">
      <c r="A416" s="1">
        <v>415</v>
      </c>
      <c r="B416" s="4">
        <v>162</v>
      </c>
      <c r="C416" s="1">
        <v>0</v>
      </c>
    </row>
    <row r="417" spans="1:3" x14ac:dyDescent="0.25">
      <c r="A417" s="1">
        <v>416</v>
      </c>
      <c r="B417" s="4">
        <v>368</v>
      </c>
      <c r="C417" s="1">
        <v>0</v>
      </c>
    </row>
    <row r="418" spans="1:3" x14ac:dyDescent="0.25">
      <c r="A418" s="1">
        <v>417</v>
      </c>
      <c r="B418" s="4">
        <v>192</v>
      </c>
      <c r="C418" s="1">
        <v>0</v>
      </c>
    </row>
    <row r="419" spans="1:3" x14ac:dyDescent="0.25">
      <c r="A419" s="1">
        <v>418</v>
      </c>
      <c r="B419" s="4">
        <v>625</v>
      </c>
      <c r="C419" s="1">
        <v>0</v>
      </c>
    </row>
    <row r="420" spans="1:3" x14ac:dyDescent="0.25">
      <c r="A420" s="1">
        <v>419</v>
      </c>
      <c r="B420" s="4">
        <v>606</v>
      </c>
      <c r="C420" s="1">
        <v>0</v>
      </c>
    </row>
    <row r="421" spans="1:3" x14ac:dyDescent="0.25">
      <c r="A421" s="1">
        <v>420</v>
      </c>
      <c r="B421" s="4">
        <v>1500</v>
      </c>
      <c r="C421" s="1">
        <v>1</v>
      </c>
    </row>
    <row r="422" spans="1:3" x14ac:dyDescent="0.25">
      <c r="A422" s="1">
        <v>421</v>
      </c>
      <c r="B422" s="4">
        <v>1815</v>
      </c>
      <c r="C422" s="1">
        <v>1</v>
      </c>
    </row>
    <row r="423" spans="1:3" x14ac:dyDescent="0.25">
      <c r="A423" s="1">
        <v>422</v>
      </c>
      <c r="B423" s="4">
        <v>248</v>
      </c>
      <c r="C423" s="1">
        <v>0</v>
      </c>
    </row>
    <row r="424" spans="1:3" x14ac:dyDescent="0.25">
      <c r="A424" s="1">
        <v>423</v>
      </c>
      <c r="B424" s="4">
        <v>457</v>
      </c>
      <c r="C424" s="1">
        <v>0</v>
      </c>
    </row>
    <row r="425" spans="1:3" x14ac:dyDescent="0.25">
      <c r="A425" s="1">
        <v>424</v>
      </c>
      <c r="B425" s="4">
        <v>521</v>
      </c>
      <c r="C425" s="1">
        <v>0</v>
      </c>
    </row>
    <row r="426" spans="1:3" x14ac:dyDescent="0.25">
      <c r="A426" s="1">
        <v>425</v>
      </c>
      <c r="B426" s="4">
        <v>1404</v>
      </c>
      <c r="C426" s="1">
        <v>1</v>
      </c>
    </row>
    <row r="427" spans="1:3" x14ac:dyDescent="0.25">
      <c r="A427" s="1">
        <v>426</v>
      </c>
      <c r="B427" s="4">
        <v>1130</v>
      </c>
      <c r="C427" s="1">
        <v>1</v>
      </c>
    </row>
    <row r="428" spans="1:3" x14ac:dyDescent="0.25">
      <c r="A428" s="1">
        <v>427</v>
      </c>
      <c r="B428" s="4">
        <v>1813</v>
      </c>
      <c r="C428" s="1">
        <v>1</v>
      </c>
    </row>
    <row r="429" spans="1:3" x14ac:dyDescent="0.25">
      <c r="A429" s="1">
        <v>428</v>
      </c>
      <c r="B429" s="4">
        <v>342</v>
      </c>
      <c r="C429" s="1">
        <v>0</v>
      </c>
    </row>
    <row r="430" spans="1:3" x14ac:dyDescent="0.25">
      <c r="A430" s="1">
        <v>429</v>
      </c>
      <c r="B430" s="4">
        <v>635</v>
      </c>
      <c r="C430" s="1">
        <v>0</v>
      </c>
    </row>
    <row r="431" spans="1:3" x14ac:dyDescent="0.25">
      <c r="A431" s="1">
        <v>430</v>
      </c>
      <c r="B431" s="4">
        <v>402</v>
      </c>
      <c r="C431" s="1">
        <v>0</v>
      </c>
    </row>
    <row r="432" spans="1:3" x14ac:dyDescent="0.25">
      <c r="A432" s="1">
        <v>431</v>
      </c>
      <c r="B432" s="4">
        <v>353</v>
      </c>
      <c r="C432" s="1">
        <v>0</v>
      </c>
    </row>
    <row r="433" spans="1:3" x14ac:dyDescent="0.25">
      <c r="A433" s="1">
        <v>432</v>
      </c>
      <c r="B433" s="4">
        <v>699</v>
      </c>
      <c r="C433" s="1">
        <v>0</v>
      </c>
    </row>
    <row r="434" spans="1:3" x14ac:dyDescent="0.25">
      <c r="A434" s="1">
        <v>433</v>
      </c>
      <c r="B434" s="4">
        <v>652</v>
      </c>
      <c r="C434" s="1">
        <v>0</v>
      </c>
    </row>
    <row r="435" spans="1:3" x14ac:dyDescent="0.25">
      <c r="A435" s="1">
        <v>434</v>
      </c>
      <c r="B435" s="4">
        <v>560</v>
      </c>
      <c r="C435" s="1">
        <v>0</v>
      </c>
    </row>
    <row r="436" spans="1:3" x14ac:dyDescent="0.25">
      <c r="A436" s="1">
        <v>435</v>
      </c>
      <c r="B436" s="4">
        <v>663</v>
      </c>
      <c r="C436" s="1">
        <v>0</v>
      </c>
    </row>
    <row r="437" spans="1:3" x14ac:dyDescent="0.25">
      <c r="A437" s="1">
        <v>436</v>
      </c>
      <c r="B437" s="4">
        <v>569</v>
      </c>
      <c r="C437" s="1">
        <v>0</v>
      </c>
    </row>
    <row r="438" spans="1:3" x14ac:dyDescent="0.25">
      <c r="A438" s="1">
        <v>437</v>
      </c>
      <c r="B438" s="4">
        <v>362</v>
      </c>
      <c r="C438" s="1">
        <v>0</v>
      </c>
    </row>
    <row r="439" spans="1:3" x14ac:dyDescent="0.25">
      <c r="A439" s="1">
        <v>438</v>
      </c>
      <c r="B439" s="4">
        <v>1334</v>
      </c>
      <c r="C439" s="1">
        <v>1</v>
      </c>
    </row>
    <row r="440" spans="1:3" x14ac:dyDescent="0.25">
      <c r="A440" s="1">
        <v>439</v>
      </c>
      <c r="B440" s="4">
        <v>1490</v>
      </c>
      <c r="C440" s="1">
        <v>1</v>
      </c>
    </row>
    <row r="441" spans="1:3" x14ac:dyDescent="0.25">
      <c r="A441" s="1">
        <v>440</v>
      </c>
      <c r="B441" s="4">
        <v>126</v>
      </c>
      <c r="C441" s="1">
        <v>0</v>
      </c>
    </row>
    <row r="442" spans="1:3" x14ac:dyDescent="0.25">
      <c r="A442" s="1">
        <v>441</v>
      </c>
      <c r="B442" s="4">
        <v>687</v>
      </c>
      <c r="C442" s="1">
        <v>0</v>
      </c>
    </row>
    <row r="443" spans="1:3" x14ac:dyDescent="0.25">
      <c r="A443" s="1">
        <v>442</v>
      </c>
      <c r="B443" s="4">
        <v>883</v>
      </c>
      <c r="C443" s="1">
        <v>1</v>
      </c>
    </row>
    <row r="444" spans="1:3" x14ac:dyDescent="0.25">
      <c r="A444" s="1">
        <v>443</v>
      </c>
      <c r="B444" s="4">
        <v>1038</v>
      </c>
      <c r="C444" s="1">
        <v>1</v>
      </c>
    </row>
    <row r="445" spans="1:3" x14ac:dyDescent="0.25">
      <c r="A445" s="1">
        <v>444</v>
      </c>
      <c r="B445" s="4">
        <v>692</v>
      </c>
      <c r="C445" s="1">
        <v>0</v>
      </c>
    </row>
    <row r="446" spans="1:3" x14ac:dyDescent="0.25">
      <c r="A446" s="1">
        <v>445</v>
      </c>
      <c r="B446" s="4">
        <v>823</v>
      </c>
      <c r="C446" s="1">
        <v>1</v>
      </c>
    </row>
    <row r="447" spans="1:3" x14ac:dyDescent="0.25">
      <c r="A447" s="1">
        <v>446</v>
      </c>
      <c r="B447" s="4">
        <v>734</v>
      </c>
      <c r="C447" s="1">
        <v>0</v>
      </c>
    </row>
    <row r="448" spans="1:3" x14ac:dyDescent="0.25">
      <c r="A448" s="1">
        <v>447</v>
      </c>
      <c r="B448" s="4">
        <v>983</v>
      </c>
      <c r="C448" s="1">
        <v>1</v>
      </c>
    </row>
    <row r="449" spans="1:3" x14ac:dyDescent="0.25">
      <c r="A449" s="1">
        <v>448</v>
      </c>
      <c r="B449" s="4">
        <v>290</v>
      </c>
      <c r="C449" s="1">
        <v>0</v>
      </c>
    </row>
    <row r="450" spans="1:3" x14ac:dyDescent="0.25">
      <c r="A450" s="1">
        <v>449</v>
      </c>
      <c r="B450" s="4">
        <v>867</v>
      </c>
      <c r="C450" s="1">
        <v>1</v>
      </c>
    </row>
    <row r="451" spans="1:3" x14ac:dyDescent="0.25">
      <c r="A451" s="1">
        <v>450</v>
      </c>
      <c r="B451" s="4">
        <v>775</v>
      </c>
      <c r="C451" s="1">
        <v>0</v>
      </c>
    </row>
    <row r="452" spans="1:3" x14ac:dyDescent="0.25">
      <c r="A452" s="1">
        <v>451</v>
      </c>
      <c r="B452" s="4">
        <v>220</v>
      </c>
      <c r="C452" s="1">
        <v>0</v>
      </c>
    </row>
    <row r="453" spans="1:3" x14ac:dyDescent="0.25">
      <c r="A453" s="1">
        <v>452</v>
      </c>
      <c r="B453" s="4">
        <v>718</v>
      </c>
      <c r="C453" s="1">
        <v>0</v>
      </c>
    </row>
    <row r="454" spans="1:3" x14ac:dyDescent="0.25">
      <c r="A454" s="1">
        <v>453</v>
      </c>
      <c r="B454" s="4">
        <v>559</v>
      </c>
      <c r="C454" s="1">
        <v>0</v>
      </c>
    </row>
    <row r="455" spans="1:3" x14ac:dyDescent="0.25">
      <c r="A455" s="1">
        <v>454</v>
      </c>
      <c r="B455" s="4">
        <v>845</v>
      </c>
      <c r="C455" s="1">
        <v>1</v>
      </c>
    </row>
    <row r="456" spans="1:3" x14ac:dyDescent="0.25">
      <c r="A456" s="1">
        <v>455</v>
      </c>
      <c r="B456" s="4">
        <v>278</v>
      </c>
      <c r="C456" s="1">
        <v>0</v>
      </c>
    </row>
    <row r="457" spans="1:3" x14ac:dyDescent="0.25">
      <c r="A457" s="1">
        <v>456</v>
      </c>
      <c r="B457" s="4">
        <v>895</v>
      </c>
      <c r="C457" s="1">
        <v>1</v>
      </c>
    </row>
    <row r="458" spans="1:3" x14ac:dyDescent="0.25">
      <c r="A458" s="1">
        <v>457</v>
      </c>
      <c r="B458" s="4">
        <v>1829</v>
      </c>
      <c r="C458" s="1">
        <v>1</v>
      </c>
    </row>
    <row r="459" spans="1:3" x14ac:dyDescent="0.25">
      <c r="A459" s="1">
        <v>458</v>
      </c>
      <c r="B459" s="4">
        <v>1093</v>
      </c>
      <c r="C459" s="1">
        <v>1</v>
      </c>
    </row>
    <row r="460" spans="1:3" x14ac:dyDescent="0.25">
      <c r="A460" s="1">
        <v>459</v>
      </c>
      <c r="B460" s="4">
        <v>571</v>
      </c>
      <c r="C460" s="1">
        <v>0</v>
      </c>
    </row>
    <row r="461" spans="1:3" x14ac:dyDescent="0.25">
      <c r="A461" s="1">
        <v>460</v>
      </c>
      <c r="B461" s="4">
        <v>779</v>
      </c>
      <c r="C461" s="1">
        <v>0</v>
      </c>
    </row>
    <row r="462" spans="1:3" x14ac:dyDescent="0.25">
      <c r="A462" s="1">
        <v>461</v>
      </c>
      <c r="B462" s="4">
        <v>1108</v>
      </c>
      <c r="C462" s="1">
        <v>1</v>
      </c>
    </row>
    <row r="463" spans="1:3" x14ac:dyDescent="0.25">
      <c r="A463" s="1">
        <v>462</v>
      </c>
      <c r="B463" s="4">
        <v>335</v>
      </c>
      <c r="C463" s="1">
        <v>0</v>
      </c>
    </row>
    <row r="464" spans="1:3" x14ac:dyDescent="0.25">
      <c r="A464" s="1">
        <v>463</v>
      </c>
      <c r="B464" s="4">
        <v>920</v>
      </c>
      <c r="C464" s="1">
        <v>1</v>
      </c>
    </row>
    <row r="465" spans="1:3" x14ac:dyDescent="0.25">
      <c r="A465" s="1">
        <v>464</v>
      </c>
      <c r="B465" s="4">
        <v>1732</v>
      </c>
      <c r="C465" s="1">
        <v>1</v>
      </c>
    </row>
    <row r="466" spans="1:3" x14ac:dyDescent="0.25">
      <c r="A466" s="1">
        <v>465</v>
      </c>
      <c r="B466" s="4">
        <v>633</v>
      </c>
      <c r="C466" s="1">
        <v>0</v>
      </c>
    </row>
    <row r="467" spans="1:3" x14ac:dyDescent="0.25">
      <c r="A467" s="1">
        <v>466</v>
      </c>
      <c r="B467" s="4">
        <v>393</v>
      </c>
      <c r="C467" s="1">
        <v>0</v>
      </c>
    </row>
    <row r="468" spans="1:3" x14ac:dyDescent="0.25">
      <c r="A468" s="1">
        <v>467</v>
      </c>
      <c r="B468" s="4">
        <v>638</v>
      </c>
      <c r="C468" s="1">
        <v>0</v>
      </c>
    </row>
    <row r="469" spans="1:3" x14ac:dyDescent="0.25">
      <c r="A469" s="1">
        <v>468</v>
      </c>
      <c r="B469" s="4">
        <v>229</v>
      </c>
      <c r="C469" s="1">
        <v>0</v>
      </c>
    </row>
    <row r="470" spans="1:3" x14ac:dyDescent="0.25">
      <c r="A470" s="1">
        <v>469</v>
      </c>
      <c r="B470" s="4">
        <v>566</v>
      </c>
      <c r="C470" s="1">
        <v>0</v>
      </c>
    </row>
    <row r="471" spans="1:3" x14ac:dyDescent="0.25">
      <c r="A471" s="1">
        <v>470</v>
      </c>
      <c r="B471" s="4">
        <v>717</v>
      </c>
      <c r="C471" s="1">
        <v>0</v>
      </c>
    </row>
    <row r="472" spans="1:3" x14ac:dyDescent="0.25">
      <c r="A472" s="1">
        <v>471</v>
      </c>
      <c r="B472" s="4">
        <v>918</v>
      </c>
      <c r="C472" s="1">
        <v>1</v>
      </c>
    </row>
    <row r="473" spans="1:3" x14ac:dyDescent="0.25">
      <c r="A473" s="1">
        <v>472</v>
      </c>
      <c r="B473" s="4">
        <v>1152</v>
      </c>
      <c r="C473" s="1">
        <v>1</v>
      </c>
    </row>
    <row r="474" spans="1:3" x14ac:dyDescent="0.25">
      <c r="A474" s="1">
        <v>473</v>
      </c>
      <c r="B474" s="4">
        <v>725</v>
      </c>
      <c r="C474" s="1">
        <v>0</v>
      </c>
    </row>
    <row r="475" spans="1:3" x14ac:dyDescent="0.25">
      <c r="A475" s="1">
        <v>474</v>
      </c>
      <c r="B475" s="4">
        <v>158</v>
      </c>
      <c r="C475" s="1">
        <v>0</v>
      </c>
    </row>
    <row r="476" spans="1:3" x14ac:dyDescent="0.25">
      <c r="A476" s="1">
        <v>475</v>
      </c>
      <c r="B476" s="4">
        <v>1651</v>
      </c>
      <c r="C476" s="1">
        <v>1</v>
      </c>
    </row>
    <row r="477" spans="1:3" x14ac:dyDescent="0.25">
      <c r="A477" s="1">
        <v>476</v>
      </c>
      <c r="B477" s="4">
        <v>634</v>
      </c>
      <c r="C477" s="1">
        <v>0</v>
      </c>
    </row>
    <row r="478" spans="1:3" x14ac:dyDescent="0.25">
      <c r="A478" s="1">
        <v>477</v>
      </c>
      <c r="B478" s="4">
        <v>665</v>
      </c>
      <c r="C478" s="1">
        <v>1</v>
      </c>
    </row>
    <row r="479" spans="1:3" x14ac:dyDescent="0.25">
      <c r="A479" s="1">
        <v>478</v>
      </c>
      <c r="B479" s="4">
        <v>664</v>
      </c>
      <c r="C479" s="1">
        <v>0</v>
      </c>
    </row>
    <row r="480" spans="1:3" x14ac:dyDescent="0.25">
      <c r="A480" s="1">
        <v>479</v>
      </c>
      <c r="B480" s="4">
        <v>625</v>
      </c>
      <c r="C480" s="1">
        <v>0</v>
      </c>
    </row>
    <row r="481" spans="1:3" x14ac:dyDescent="0.25">
      <c r="A481" s="1">
        <v>480</v>
      </c>
      <c r="B481" s="4">
        <v>715</v>
      </c>
      <c r="C481" s="1">
        <v>1</v>
      </c>
    </row>
    <row r="482" spans="1:3" x14ac:dyDescent="0.25">
      <c r="A482" s="1">
        <v>481</v>
      </c>
      <c r="B482" s="4">
        <v>1359</v>
      </c>
      <c r="C482" s="1">
        <v>1</v>
      </c>
    </row>
    <row r="483" spans="1:3" x14ac:dyDescent="0.25">
      <c r="A483" s="1">
        <v>482</v>
      </c>
      <c r="B483" s="4">
        <v>246</v>
      </c>
      <c r="C483" s="1">
        <v>0</v>
      </c>
    </row>
    <row r="484" spans="1:3" x14ac:dyDescent="0.25">
      <c r="A484" s="1">
        <v>483</v>
      </c>
      <c r="B484" s="4">
        <v>452</v>
      </c>
      <c r="C484" s="1">
        <v>0</v>
      </c>
    </row>
    <row r="485" spans="1:3" x14ac:dyDescent="0.25">
      <c r="A485" s="1">
        <v>484</v>
      </c>
      <c r="B485" s="4">
        <v>920</v>
      </c>
      <c r="C485" s="1">
        <v>1</v>
      </c>
    </row>
    <row r="486" spans="1:3" x14ac:dyDescent="0.25">
      <c r="A486" s="1">
        <v>485</v>
      </c>
      <c r="B486" s="4">
        <v>310</v>
      </c>
      <c r="C486" s="1">
        <v>0</v>
      </c>
    </row>
    <row r="487" spans="1:3" x14ac:dyDescent="0.25">
      <c r="A487" s="1">
        <v>486</v>
      </c>
      <c r="B487" s="4">
        <v>1025</v>
      </c>
      <c r="C487" s="1">
        <v>1</v>
      </c>
    </row>
    <row r="488" spans="1:3" x14ac:dyDescent="0.25">
      <c r="A488" s="1">
        <v>487</v>
      </c>
      <c r="B488" s="4">
        <v>1002</v>
      </c>
      <c r="C488" s="1">
        <v>1</v>
      </c>
    </row>
    <row r="489" spans="1:3" x14ac:dyDescent="0.25">
      <c r="A489" s="1">
        <v>488</v>
      </c>
      <c r="B489" s="4">
        <v>1140</v>
      </c>
      <c r="C489" s="1">
        <v>1</v>
      </c>
    </row>
    <row r="490" spans="1:3" x14ac:dyDescent="0.25">
      <c r="A490" s="1">
        <v>489</v>
      </c>
      <c r="B490" s="4">
        <v>406</v>
      </c>
      <c r="C490" s="1">
        <v>0</v>
      </c>
    </row>
    <row r="491" spans="1:3" x14ac:dyDescent="0.25">
      <c r="A491" s="1">
        <v>490</v>
      </c>
      <c r="B491" s="4">
        <v>327</v>
      </c>
      <c r="C491" s="1">
        <v>0</v>
      </c>
    </row>
    <row r="492" spans="1:3" x14ac:dyDescent="0.25">
      <c r="A492" s="1">
        <v>491</v>
      </c>
      <c r="B492" s="4">
        <v>961</v>
      </c>
      <c r="C492" s="1">
        <v>1</v>
      </c>
    </row>
    <row r="493" spans="1:3" x14ac:dyDescent="0.25">
      <c r="A493" s="1">
        <v>492</v>
      </c>
      <c r="B493" s="4">
        <v>372</v>
      </c>
      <c r="C493" s="1">
        <v>0</v>
      </c>
    </row>
    <row r="494" spans="1:3" x14ac:dyDescent="0.25">
      <c r="A494" s="1">
        <v>493</v>
      </c>
      <c r="B494" s="4">
        <v>606</v>
      </c>
      <c r="C494" s="1">
        <v>0</v>
      </c>
    </row>
    <row r="495" spans="1:3" x14ac:dyDescent="0.25">
      <c r="A495" s="1">
        <v>494</v>
      </c>
      <c r="B495" s="4">
        <v>747</v>
      </c>
      <c r="C495" s="1">
        <v>1</v>
      </c>
    </row>
    <row r="496" spans="1:3" x14ac:dyDescent="0.25">
      <c r="A496" s="1">
        <v>495</v>
      </c>
      <c r="B496" s="4">
        <v>1104</v>
      </c>
      <c r="C496" s="1">
        <v>1</v>
      </c>
    </row>
    <row r="497" spans="1:3" x14ac:dyDescent="0.25">
      <c r="A497" s="1">
        <v>496</v>
      </c>
      <c r="B497" s="4">
        <v>536</v>
      </c>
      <c r="C497" s="1">
        <v>0</v>
      </c>
    </row>
    <row r="498" spans="1:3" x14ac:dyDescent="0.25">
      <c r="A498" s="1">
        <v>497</v>
      </c>
      <c r="B498" s="4">
        <v>617</v>
      </c>
      <c r="C498" s="1">
        <v>0</v>
      </c>
    </row>
    <row r="499" spans="1:3" x14ac:dyDescent="0.25">
      <c r="A499" s="1">
        <v>498</v>
      </c>
      <c r="B499" s="4">
        <v>962</v>
      </c>
      <c r="C499" s="1">
        <v>0</v>
      </c>
    </row>
    <row r="500" spans="1:3" x14ac:dyDescent="0.25">
      <c r="A500" s="1">
        <v>499</v>
      </c>
      <c r="B500" s="4">
        <v>314</v>
      </c>
      <c r="C500" s="1">
        <v>0</v>
      </c>
    </row>
    <row r="501" spans="1:3" x14ac:dyDescent="0.25">
      <c r="A501" s="1">
        <v>500</v>
      </c>
      <c r="B501" s="4">
        <v>130</v>
      </c>
      <c r="C501" s="1">
        <v>0</v>
      </c>
    </row>
    <row r="502" spans="1:3" x14ac:dyDescent="0.25">
      <c r="A502" s="1">
        <v>501</v>
      </c>
      <c r="B502" s="4">
        <v>220</v>
      </c>
      <c r="C502" s="1">
        <v>0</v>
      </c>
    </row>
    <row r="503" spans="1:3" x14ac:dyDescent="0.25">
      <c r="A503" s="1">
        <v>502</v>
      </c>
      <c r="B503" s="4">
        <v>349</v>
      </c>
      <c r="C503" s="1">
        <v>0</v>
      </c>
    </row>
    <row r="504" spans="1:3" x14ac:dyDescent="0.25">
      <c r="A504" s="1">
        <v>503</v>
      </c>
      <c r="B504" s="4">
        <v>795</v>
      </c>
      <c r="C504" s="1">
        <v>0</v>
      </c>
    </row>
    <row r="505" spans="1:3" x14ac:dyDescent="0.25">
      <c r="A505" s="1">
        <v>504</v>
      </c>
      <c r="B505" s="4">
        <v>1213</v>
      </c>
      <c r="C505" s="1">
        <v>1</v>
      </c>
    </row>
    <row r="506" spans="1:3" x14ac:dyDescent="0.25">
      <c r="A506" s="1">
        <v>505</v>
      </c>
      <c r="B506" s="4">
        <v>714</v>
      </c>
      <c r="C506" s="1">
        <v>0</v>
      </c>
    </row>
    <row r="507" spans="1:3" x14ac:dyDescent="0.25">
      <c r="A507" s="1">
        <v>506</v>
      </c>
      <c r="B507" s="4">
        <v>943</v>
      </c>
      <c r="C507" s="1">
        <v>0</v>
      </c>
    </row>
    <row r="508" spans="1:3" x14ac:dyDescent="0.25">
      <c r="A508" s="1">
        <v>507</v>
      </c>
      <c r="B508" s="4">
        <v>527</v>
      </c>
      <c r="C508" s="1">
        <v>0</v>
      </c>
    </row>
    <row r="509" spans="1:3" x14ac:dyDescent="0.25">
      <c r="A509" s="1">
        <v>508</v>
      </c>
      <c r="B509" s="4">
        <v>305</v>
      </c>
      <c r="C509" s="1">
        <v>0</v>
      </c>
    </row>
    <row r="510" spans="1:3" x14ac:dyDescent="0.25">
      <c r="A510" s="1">
        <v>509</v>
      </c>
      <c r="B510" s="4">
        <v>1000</v>
      </c>
      <c r="C510" s="1">
        <v>0</v>
      </c>
    </row>
    <row r="511" spans="1:3" x14ac:dyDescent="0.25">
      <c r="A511" s="1">
        <v>510</v>
      </c>
      <c r="B511" s="4">
        <v>548</v>
      </c>
      <c r="C511" s="1">
        <v>0</v>
      </c>
    </row>
    <row r="512" spans="1:3" x14ac:dyDescent="0.25">
      <c r="A512" s="1">
        <v>511</v>
      </c>
      <c r="B512" s="4">
        <v>352</v>
      </c>
      <c r="C512" s="1">
        <v>0</v>
      </c>
    </row>
    <row r="513" spans="1:3" x14ac:dyDescent="0.25">
      <c r="A513" s="1">
        <v>512</v>
      </c>
      <c r="B513" s="4">
        <v>614</v>
      </c>
      <c r="C513" s="1">
        <v>0</v>
      </c>
    </row>
    <row r="514" spans="1:3" x14ac:dyDescent="0.25">
      <c r="A514" s="1">
        <v>513</v>
      </c>
      <c r="B514" s="4">
        <v>837</v>
      </c>
      <c r="C514" s="1">
        <v>0</v>
      </c>
    </row>
    <row r="515" spans="1:3" x14ac:dyDescent="0.25">
      <c r="A515" s="1">
        <v>514</v>
      </c>
      <c r="B515" s="4">
        <v>295</v>
      </c>
      <c r="C515" s="1">
        <v>0</v>
      </c>
    </row>
    <row r="516" spans="1:3" x14ac:dyDescent="0.25">
      <c r="A516" s="1">
        <v>515</v>
      </c>
      <c r="B516" s="4">
        <v>386</v>
      </c>
      <c r="C516" s="1">
        <v>0</v>
      </c>
    </row>
    <row r="517" spans="1:3" x14ac:dyDescent="0.25">
      <c r="A517" s="1">
        <v>516</v>
      </c>
      <c r="B517" s="4">
        <v>1165</v>
      </c>
      <c r="C517" s="1">
        <v>1</v>
      </c>
    </row>
    <row r="518" spans="1:3" x14ac:dyDescent="0.25">
      <c r="A518" s="1">
        <v>517</v>
      </c>
      <c r="B518" s="4">
        <v>893</v>
      </c>
      <c r="C518" s="1">
        <v>1</v>
      </c>
    </row>
    <row r="519" spans="1:3" x14ac:dyDescent="0.25">
      <c r="A519" s="1">
        <v>518</v>
      </c>
      <c r="B519" s="4">
        <v>633</v>
      </c>
      <c r="C519" s="1">
        <v>0</v>
      </c>
    </row>
    <row r="520" spans="1:3" x14ac:dyDescent="0.25">
      <c r="A520" s="1">
        <v>519</v>
      </c>
      <c r="B520" s="4">
        <v>1380</v>
      </c>
      <c r="C520" s="1">
        <v>1</v>
      </c>
    </row>
    <row r="521" spans="1:3" x14ac:dyDescent="0.25">
      <c r="A521" s="1">
        <v>520</v>
      </c>
      <c r="B521" s="4">
        <v>1268</v>
      </c>
      <c r="C521" s="1">
        <v>1</v>
      </c>
    </row>
    <row r="522" spans="1:3" x14ac:dyDescent="0.25">
      <c r="A522" s="1">
        <v>521</v>
      </c>
      <c r="B522" s="4">
        <v>535</v>
      </c>
      <c r="C522" s="1">
        <v>0</v>
      </c>
    </row>
    <row r="523" spans="1:3" x14ac:dyDescent="0.25">
      <c r="A523" s="1">
        <v>522</v>
      </c>
      <c r="B523" s="4">
        <v>1567</v>
      </c>
      <c r="C523" s="1">
        <v>1</v>
      </c>
    </row>
    <row r="524" spans="1:3" x14ac:dyDescent="0.25">
      <c r="A524" s="1">
        <v>523</v>
      </c>
      <c r="B524" s="4">
        <v>821</v>
      </c>
      <c r="C524" s="1">
        <v>1</v>
      </c>
    </row>
    <row r="525" spans="1:3" x14ac:dyDescent="0.25">
      <c r="A525" s="1">
        <v>524</v>
      </c>
      <c r="B525" s="4">
        <v>659</v>
      </c>
      <c r="C525" s="1">
        <v>0</v>
      </c>
    </row>
    <row r="526" spans="1:3" x14ac:dyDescent="0.25">
      <c r="A526" s="1">
        <v>525</v>
      </c>
      <c r="B526" s="4">
        <v>191</v>
      </c>
      <c r="C526" s="1">
        <v>0</v>
      </c>
    </row>
    <row r="527" spans="1:3" x14ac:dyDescent="0.25">
      <c r="A527" s="1">
        <v>526</v>
      </c>
      <c r="B527" s="4">
        <v>462</v>
      </c>
      <c r="C527" s="1">
        <v>0</v>
      </c>
    </row>
    <row r="528" spans="1:3" x14ac:dyDescent="0.25">
      <c r="A528" s="1">
        <v>527</v>
      </c>
      <c r="B528" s="4">
        <v>613</v>
      </c>
      <c r="C528" s="1">
        <v>0</v>
      </c>
    </row>
    <row r="529" spans="1:3" x14ac:dyDescent="0.25">
      <c r="A529" s="1">
        <v>528</v>
      </c>
      <c r="B529" s="4">
        <v>253</v>
      </c>
      <c r="C529" s="1">
        <v>0</v>
      </c>
    </row>
    <row r="530" spans="1:3" x14ac:dyDescent="0.25">
      <c r="A530" s="1">
        <v>529</v>
      </c>
      <c r="B530" s="4">
        <v>355</v>
      </c>
      <c r="C530" s="1">
        <v>0</v>
      </c>
    </row>
    <row r="531" spans="1:3" x14ac:dyDescent="0.25">
      <c r="A531" s="1">
        <v>530</v>
      </c>
      <c r="B531" s="4">
        <v>382</v>
      </c>
      <c r="C531" s="1">
        <v>0</v>
      </c>
    </row>
    <row r="532" spans="1:3" x14ac:dyDescent="0.25">
      <c r="A532" s="1">
        <v>531</v>
      </c>
      <c r="B532" s="4">
        <v>989</v>
      </c>
      <c r="C532" s="1">
        <v>1</v>
      </c>
    </row>
    <row r="533" spans="1:3" x14ac:dyDescent="0.25">
      <c r="A533" s="1">
        <v>532</v>
      </c>
      <c r="B533" s="4">
        <v>573</v>
      </c>
      <c r="C533" s="1">
        <v>0</v>
      </c>
    </row>
    <row r="534" spans="1:3" x14ac:dyDescent="0.25">
      <c r="A534" s="1">
        <v>533</v>
      </c>
      <c r="B534" s="4">
        <v>466</v>
      </c>
      <c r="C534" s="1">
        <v>0</v>
      </c>
    </row>
    <row r="535" spans="1:3" x14ac:dyDescent="0.25">
      <c r="A535" s="1">
        <v>534</v>
      </c>
      <c r="B535" s="4">
        <v>336</v>
      </c>
      <c r="C535" s="1">
        <v>0</v>
      </c>
    </row>
    <row r="536" spans="1:3" x14ac:dyDescent="0.25">
      <c r="A536" s="1">
        <v>535</v>
      </c>
      <c r="B536" s="4">
        <v>700</v>
      </c>
      <c r="C536" s="1">
        <v>0</v>
      </c>
    </row>
    <row r="537" spans="1:3" x14ac:dyDescent="0.25">
      <c r="A537" s="1">
        <v>536</v>
      </c>
      <c r="B537" s="4">
        <v>894</v>
      </c>
      <c r="C537" s="1">
        <v>1</v>
      </c>
    </row>
    <row r="538" spans="1:3" x14ac:dyDescent="0.25">
      <c r="A538" s="1">
        <v>537</v>
      </c>
      <c r="B538" s="4">
        <v>1045</v>
      </c>
      <c r="C538" s="1">
        <v>1</v>
      </c>
    </row>
    <row r="539" spans="1:3" x14ac:dyDescent="0.25">
      <c r="A539" s="1">
        <v>538</v>
      </c>
      <c r="B539" s="4">
        <v>1452</v>
      </c>
      <c r="C539" s="1">
        <v>1</v>
      </c>
    </row>
    <row r="540" spans="1:3" x14ac:dyDescent="0.25">
      <c r="A540" s="1">
        <v>539</v>
      </c>
      <c r="B540" s="4">
        <v>1645</v>
      </c>
      <c r="C540" s="1">
        <v>1</v>
      </c>
    </row>
    <row r="541" spans="1:3" x14ac:dyDescent="0.25">
      <c r="A541" s="1">
        <v>540</v>
      </c>
      <c r="B541" s="4">
        <v>304</v>
      </c>
      <c r="C541" s="1">
        <v>0</v>
      </c>
    </row>
    <row r="542" spans="1:3" x14ac:dyDescent="0.25">
      <c r="A542" s="1">
        <v>541</v>
      </c>
      <c r="B542" s="4">
        <v>525</v>
      </c>
      <c r="C542" s="1">
        <v>0</v>
      </c>
    </row>
    <row r="543" spans="1:3" x14ac:dyDescent="0.25">
      <c r="A543" s="1">
        <v>542</v>
      </c>
      <c r="B543" s="4">
        <v>561</v>
      </c>
      <c r="C543" s="1">
        <v>0</v>
      </c>
    </row>
    <row r="544" spans="1:3" x14ac:dyDescent="0.25">
      <c r="A544" s="1">
        <v>543</v>
      </c>
      <c r="B544" s="4">
        <v>1657</v>
      </c>
      <c r="C544" s="1">
        <v>1</v>
      </c>
    </row>
    <row r="545" spans="1:3" x14ac:dyDescent="0.25">
      <c r="A545" s="1">
        <v>544</v>
      </c>
      <c r="B545" s="4">
        <v>1178</v>
      </c>
      <c r="C545" s="1">
        <v>1</v>
      </c>
    </row>
    <row r="546" spans="1:3" x14ac:dyDescent="0.25">
      <c r="A546" s="1">
        <v>545</v>
      </c>
      <c r="B546" s="4">
        <v>516</v>
      </c>
      <c r="C546" s="1">
        <v>0</v>
      </c>
    </row>
    <row r="547" spans="1:3" x14ac:dyDescent="0.25">
      <c r="A547" s="1">
        <v>546</v>
      </c>
      <c r="B547" s="4">
        <v>615</v>
      </c>
      <c r="C547" s="1">
        <v>0</v>
      </c>
    </row>
    <row r="548" spans="1:3" x14ac:dyDescent="0.25">
      <c r="A548" s="1">
        <v>547</v>
      </c>
      <c r="B548" s="4">
        <v>1108</v>
      </c>
      <c r="C548" s="1">
        <v>1</v>
      </c>
    </row>
    <row r="549" spans="1:3" x14ac:dyDescent="0.25">
      <c r="A549" s="1">
        <v>548</v>
      </c>
      <c r="B549" s="4">
        <v>712</v>
      </c>
      <c r="C549" s="1">
        <v>1</v>
      </c>
    </row>
    <row r="550" spans="1:3" x14ac:dyDescent="0.25">
      <c r="A550" s="1">
        <v>549</v>
      </c>
      <c r="B550" s="4">
        <v>613</v>
      </c>
      <c r="C550" s="1">
        <v>0</v>
      </c>
    </row>
    <row r="551" spans="1:3" x14ac:dyDescent="0.25">
      <c r="A551" s="1">
        <v>550</v>
      </c>
      <c r="B551" s="4">
        <v>895</v>
      </c>
      <c r="C551" s="1">
        <v>0</v>
      </c>
    </row>
    <row r="552" spans="1:3" x14ac:dyDescent="0.25">
      <c r="A552" s="1">
        <v>551</v>
      </c>
      <c r="B552" s="4">
        <v>771</v>
      </c>
      <c r="C552" s="1">
        <v>0</v>
      </c>
    </row>
    <row r="553" spans="1:3" x14ac:dyDescent="0.25">
      <c r="A553" s="1">
        <v>552</v>
      </c>
      <c r="B553" s="4">
        <v>935</v>
      </c>
      <c r="C553" s="1">
        <v>1</v>
      </c>
    </row>
    <row r="554" spans="1:3" x14ac:dyDescent="0.25">
      <c r="A554" s="1">
        <v>553</v>
      </c>
      <c r="B554" s="4">
        <v>734</v>
      </c>
      <c r="C554" s="1">
        <v>0</v>
      </c>
    </row>
    <row r="555" spans="1:3" x14ac:dyDescent="0.25">
      <c r="A555" s="1">
        <v>554</v>
      </c>
      <c r="B555" s="4">
        <v>593</v>
      </c>
      <c r="C555" s="1">
        <v>0</v>
      </c>
    </row>
    <row r="556" spans="1:3" x14ac:dyDescent="0.25">
      <c r="A556" s="1">
        <v>555</v>
      </c>
      <c r="B556" s="4">
        <v>76</v>
      </c>
      <c r="C556" s="1">
        <v>0</v>
      </c>
    </row>
    <row r="557" spans="1:3" x14ac:dyDescent="0.25">
      <c r="A557" s="1">
        <v>556</v>
      </c>
      <c r="B557" s="4">
        <v>470</v>
      </c>
      <c r="C557" s="1">
        <v>0</v>
      </c>
    </row>
    <row r="558" spans="1:3" x14ac:dyDescent="0.25">
      <c r="A558" s="1">
        <v>557</v>
      </c>
      <c r="B558" s="4">
        <v>1104</v>
      </c>
      <c r="C558" s="1">
        <v>1</v>
      </c>
    </row>
    <row r="559" spans="1:3" x14ac:dyDescent="0.25">
      <c r="A559" s="1">
        <v>558</v>
      </c>
      <c r="B559" s="4">
        <v>585</v>
      </c>
      <c r="C559" s="1">
        <v>0</v>
      </c>
    </row>
    <row r="560" spans="1:3" x14ac:dyDescent="0.25">
      <c r="A560" s="1">
        <v>559</v>
      </c>
      <c r="B560" s="4">
        <v>1198</v>
      </c>
      <c r="C560" s="1">
        <v>1</v>
      </c>
    </row>
    <row r="561" spans="1:3" x14ac:dyDescent="0.25">
      <c r="A561" s="1">
        <v>560</v>
      </c>
      <c r="B561" s="4">
        <v>639</v>
      </c>
      <c r="C561" s="1">
        <v>0</v>
      </c>
    </row>
    <row r="562" spans="1:3" x14ac:dyDescent="0.25">
      <c r="A562" s="1">
        <v>561</v>
      </c>
      <c r="B562" s="4">
        <v>561</v>
      </c>
      <c r="C562" s="1">
        <v>0</v>
      </c>
    </row>
    <row r="563" spans="1:3" x14ac:dyDescent="0.25">
      <c r="A563" s="1">
        <v>562</v>
      </c>
      <c r="B563" s="4">
        <v>922</v>
      </c>
      <c r="C563" s="1">
        <v>1</v>
      </c>
    </row>
    <row r="564" spans="1:3" x14ac:dyDescent="0.25">
      <c r="A564" s="1">
        <v>563</v>
      </c>
      <c r="B564" s="4">
        <v>1053</v>
      </c>
      <c r="C564" s="1">
        <v>1</v>
      </c>
    </row>
    <row r="565" spans="1:3" x14ac:dyDescent="0.25">
      <c r="A565" s="1">
        <v>564</v>
      </c>
      <c r="B565" s="4">
        <v>902</v>
      </c>
      <c r="C565" s="1">
        <v>0</v>
      </c>
    </row>
    <row r="566" spans="1:3" x14ac:dyDescent="0.25">
      <c r="A566" s="1">
        <v>565</v>
      </c>
      <c r="B566" s="4">
        <v>421</v>
      </c>
      <c r="C566" s="1">
        <v>0</v>
      </c>
    </row>
    <row r="567" spans="1:3" x14ac:dyDescent="0.25">
      <c r="A567" s="1">
        <v>566</v>
      </c>
      <c r="B567" s="4">
        <v>652</v>
      </c>
      <c r="C567" s="1">
        <v>0</v>
      </c>
    </row>
    <row r="568" spans="1:3" x14ac:dyDescent="0.25">
      <c r="A568" s="1">
        <v>567</v>
      </c>
      <c r="B568" s="4">
        <v>960</v>
      </c>
      <c r="C568" s="1">
        <v>1</v>
      </c>
    </row>
    <row r="569" spans="1:3" x14ac:dyDescent="0.25">
      <c r="A569" s="1">
        <v>568</v>
      </c>
      <c r="B569" s="4">
        <v>828</v>
      </c>
      <c r="C569" s="1">
        <v>1</v>
      </c>
    </row>
    <row r="570" spans="1:3" x14ac:dyDescent="0.25">
      <c r="A570" s="1">
        <v>569</v>
      </c>
      <c r="B570" s="4">
        <v>633</v>
      </c>
      <c r="C570" s="1">
        <v>0</v>
      </c>
    </row>
    <row r="571" spans="1:3" x14ac:dyDescent="0.25">
      <c r="A571" s="1">
        <v>570</v>
      </c>
      <c r="B571" s="4">
        <v>819</v>
      </c>
      <c r="C571" s="1">
        <v>1</v>
      </c>
    </row>
    <row r="572" spans="1:3" x14ac:dyDescent="0.25">
      <c r="A572" s="1">
        <v>571</v>
      </c>
      <c r="B572" s="4">
        <v>424</v>
      </c>
      <c r="C572" s="1">
        <v>0</v>
      </c>
    </row>
    <row r="573" spans="1:3" x14ac:dyDescent="0.25">
      <c r="A573" s="1">
        <v>572</v>
      </c>
      <c r="B573" s="4">
        <v>1726</v>
      </c>
      <c r="C573" s="1">
        <v>1</v>
      </c>
    </row>
    <row r="574" spans="1:3" x14ac:dyDescent="0.25">
      <c r="A574" s="1">
        <v>573</v>
      </c>
      <c r="B574" s="4">
        <v>554</v>
      </c>
      <c r="C574" s="1">
        <v>0</v>
      </c>
    </row>
    <row r="575" spans="1:3" x14ac:dyDescent="0.25">
      <c r="A575" s="1">
        <v>574</v>
      </c>
      <c r="B575" s="4">
        <v>423</v>
      </c>
      <c r="C575" s="1">
        <v>0</v>
      </c>
    </row>
    <row r="576" spans="1:3" x14ac:dyDescent="0.25">
      <c r="A576" s="1">
        <v>575</v>
      </c>
      <c r="B576" s="4">
        <v>898</v>
      </c>
      <c r="C576" s="1">
        <v>0</v>
      </c>
    </row>
    <row r="577" spans="1:3" x14ac:dyDescent="0.25">
      <c r="A577" s="1">
        <v>576</v>
      </c>
      <c r="B577" s="4">
        <v>1009</v>
      </c>
      <c r="C577" s="1">
        <v>1</v>
      </c>
    </row>
    <row r="578" spans="1:3" x14ac:dyDescent="0.25">
      <c r="A578" s="1">
        <v>577</v>
      </c>
      <c r="B578" s="4">
        <v>1178</v>
      </c>
      <c r="C578" s="1">
        <v>1</v>
      </c>
    </row>
    <row r="579" spans="1:3" x14ac:dyDescent="0.25">
      <c r="A579" s="1">
        <v>578</v>
      </c>
      <c r="B579" s="4">
        <v>419</v>
      </c>
      <c r="C579" s="1">
        <v>0</v>
      </c>
    </row>
    <row r="580" spans="1:3" x14ac:dyDescent="0.25">
      <c r="A580" s="1">
        <v>579</v>
      </c>
      <c r="B580" s="4">
        <v>1147</v>
      </c>
      <c r="C580" s="1">
        <v>1</v>
      </c>
    </row>
    <row r="581" spans="1:3" x14ac:dyDescent="0.25">
      <c r="A581" s="1">
        <v>580</v>
      </c>
      <c r="B581" s="4">
        <v>447</v>
      </c>
      <c r="C581" s="1">
        <v>0</v>
      </c>
    </row>
    <row r="582" spans="1:3" x14ac:dyDescent="0.25">
      <c r="A582" s="1">
        <v>581</v>
      </c>
      <c r="B582" s="4">
        <v>842</v>
      </c>
      <c r="C582" s="1">
        <v>1</v>
      </c>
    </row>
    <row r="583" spans="1:3" x14ac:dyDescent="0.25">
      <c r="A583" s="1">
        <v>582</v>
      </c>
      <c r="B583" s="4">
        <v>1039</v>
      </c>
      <c r="C583" s="1">
        <v>1</v>
      </c>
    </row>
    <row r="584" spans="1:3" x14ac:dyDescent="0.25">
      <c r="A584" s="1">
        <v>583</v>
      </c>
      <c r="B584" s="4">
        <v>904</v>
      </c>
      <c r="C584" s="1">
        <v>1</v>
      </c>
    </row>
    <row r="585" spans="1:3" x14ac:dyDescent="0.25">
      <c r="A585" s="1">
        <v>584</v>
      </c>
      <c r="B585" s="4">
        <v>573</v>
      </c>
      <c r="C585" s="1">
        <v>0</v>
      </c>
    </row>
    <row r="586" spans="1:3" x14ac:dyDescent="0.25">
      <c r="A586" s="1">
        <v>585</v>
      </c>
      <c r="B586" s="4">
        <v>830</v>
      </c>
      <c r="C586" s="1">
        <v>0</v>
      </c>
    </row>
    <row r="587" spans="1:3" x14ac:dyDescent="0.25">
      <c r="A587" s="1">
        <v>586</v>
      </c>
      <c r="B587" s="4">
        <v>497</v>
      </c>
      <c r="C587" s="1">
        <v>0</v>
      </c>
    </row>
    <row r="588" spans="1:3" x14ac:dyDescent="0.25">
      <c r="A588" s="1">
        <v>587</v>
      </c>
      <c r="B588" s="4">
        <v>217</v>
      </c>
      <c r="C588" s="1">
        <v>0</v>
      </c>
    </row>
    <row r="589" spans="1:3" x14ac:dyDescent="0.25">
      <c r="A589" s="1">
        <v>588</v>
      </c>
      <c r="B589" s="4">
        <v>1182</v>
      </c>
      <c r="C589" s="1">
        <v>1</v>
      </c>
    </row>
    <row r="590" spans="1:3" x14ac:dyDescent="0.25">
      <c r="A590" s="1">
        <v>589</v>
      </c>
      <c r="B590" s="4">
        <v>763</v>
      </c>
      <c r="C590" s="1">
        <v>1</v>
      </c>
    </row>
    <row r="591" spans="1:3" x14ac:dyDescent="0.25">
      <c r="A591" s="1">
        <v>590</v>
      </c>
      <c r="B591" s="4">
        <v>1194</v>
      </c>
      <c r="C591" s="1">
        <v>1</v>
      </c>
    </row>
    <row r="592" spans="1:3" x14ac:dyDescent="0.25">
      <c r="A592" s="1">
        <v>591</v>
      </c>
      <c r="B592" s="4">
        <v>940</v>
      </c>
      <c r="C592" s="1">
        <v>1</v>
      </c>
    </row>
    <row r="593" spans="1:3" x14ac:dyDescent="0.25">
      <c r="A593" s="1">
        <v>592</v>
      </c>
      <c r="B593" s="4">
        <v>775</v>
      </c>
      <c r="C593" s="1">
        <v>0</v>
      </c>
    </row>
    <row r="594" spans="1:3" x14ac:dyDescent="0.25">
      <c r="A594" s="1">
        <v>593</v>
      </c>
      <c r="B594" s="4">
        <v>466</v>
      </c>
      <c r="C594" s="1">
        <v>0</v>
      </c>
    </row>
    <row r="595" spans="1:3" x14ac:dyDescent="0.25">
      <c r="A595" s="1">
        <v>594</v>
      </c>
      <c r="B595" s="4">
        <v>681</v>
      </c>
      <c r="C595" s="1">
        <v>0</v>
      </c>
    </row>
    <row r="596" spans="1:3" x14ac:dyDescent="0.25">
      <c r="A596" s="1">
        <v>595</v>
      </c>
      <c r="B596" s="4">
        <v>273</v>
      </c>
      <c r="C596" s="1">
        <v>0</v>
      </c>
    </row>
    <row r="597" spans="1:3" x14ac:dyDescent="0.25">
      <c r="A597" s="1">
        <v>596</v>
      </c>
      <c r="B597" s="4">
        <v>689</v>
      </c>
      <c r="C597" s="1">
        <v>0</v>
      </c>
    </row>
    <row r="598" spans="1:3" x14ac:dyDescent="0.25">
      <c r="A598" s="1">
        <v>597</v>
      </c>
      <c r="B598" s="4">
        <v>1298</v>
      </c>
      <c r="C598" s="1">
        <v>1</v>
      </c>
    </row>
    <row r="599" spans="1:3" x14ac:dyDescent="0.25">
      <c r="A599" s="1">
        <v>598</v>
      </c>
      <c r="B599" s="4">
        <v>481</v>
      </c>
      <c r="C599" s="1">
        <v>0</v>
      </c>
    </row>
    <row r="600" spans="1:3" x14ac:dyDescent="0.25">
      <c r="A600" s="1">
        <v>599</v>
      </c>
      <c r="B600" s="4">
        <v>1151</v>
      </c>
      <c r="C600" s="1">
        <v>1</v>
      </c>
    </row>
    <row r="601" spans="1:3" x14ac:dyDescent="0.25">
      <c r="A601" s="1">
        <v>600</v>
      </c>
      <c r="B601" s="4">
        <v>452</v>
      </c>
      <c r="C601" s="1">
        <v>0</v>
      </c>
    </row>
    <row r="602" spans="1:3" x14ac:dyDescent="0.25">
      <c r="A602" s="1">
        <v>601</v>
      </c>
      <c r="B602" s="4">
        <v>763</v>
      </c>
      <c r="C602" s="1">
        <v>0</v>
      </c>
    </row>
    <row r="603" spans="1:3" x14ac:dyDescent="0.25">
      <c r="A603" s="1">
        <v>602</v>
      </c>
      <c r="B603" s="4">
        <v>386</v>
      </c>
      <c r="C603" s="1">
        <v>0</v>
      </c>
    </row>
    <row r="604" spans="1:3" x14ac:dyDescent="0.25">
      <c r="A604" s="1">
        <v>603</v>
      </c>
      <c r="B604" s="4">
        <v>687</v>
      </c>
      <c r="C604" s="1">
        <v>0</v>
      </c>
    </row>
    <row r="605" spans="1:3" x14ac:dyDescent="0.25">
      <c r="A605" s="1">
        <v>604</v>
      </c>
      <c r="B605" s="4">
        <v>398</v>
      </c>
      <c r="C605" s="1">
        <v>0</v>
      </c>
    </row>
    <row r="606" spans="1:3" x14ac:dyDescent="0.25">
      <c r="A606" s="1">
        <v>605</v>
      </c>
      <c r="B606" s="4">
        <v>373</v>
      </c>
      <c r="C606" s="1">
        <v>0</v>
      </c>
    </row>
    <row r="607" spans="1:3" x14ac:dyDescent="0.25">
      <c r="A607" s="1">
        <v>606</v>
      </c>
      <c r="B607" s="4">
        <v>341</v>
      </c>
      <c r="C607" s="1">
        <v>0</v>
      </c>
    </row>
    <row r="608" spans="1:3" x14ac:dyDescent="0.25">
      <c r="A608" s="1">
        <v>607</v>
      </c>
      <c r="B608" s="4">
        <v>817</v>
      </c>
      <c r="C608" s="1">
        <v>0</v>
      </c>
    </row>
    <row r="609" spans="1:3" x14ac:dyDescent="0.25">
      <c r="A609" s="1">
        <v>608</v>
      </c>
      <c r="B609" s="4">
        <v>534</v>
      </c>
      <c r="C609" s="1">
        <v>0</v>
      </c>
    </row>
    <row r="610" spans="1:3" x14ac:dyDescent="0.25">
      <c r="A610" s="1">
        <v>609</v>
      </c>
      <c r="B610" s="4">
        <v>437</v>
      </c>
      <c r="C610" s="1">
        <v>0</v>
      </c>
    </row>
    <row r="611" spans="1:3" x14ac:dyDescent="0.25">
      <c r="A611" s="1">
        <v>610</v>
      </c>
      <c r="B611" s="4">
        <v>2087</v>
      </c>
      <c r="C611" s="1">
        <v>1</v>
      </c>
    </row>
    <row r="612" spans="1:3" x14ac:dyDescent="0.25">
      <c r="A612" s="1">
        <v>611</v>
      </c>
      <c r="B612" s="4">
        <v>426</v>
      </c>
      <c r="C612" s="1">
        <v>0</v>
      </c>
    </row>
    <row r="613" spans="1:3" x14ac:dyDescent="0.25">
      <c r="A613" s="1">
        <v>612</v>
      </c>
      <c r="B613" s="4">
        <v>241</v>
      </c>
      <c r="C613" s="1">
        <v>0</v>
      </c>
    </row>
    <row r="614" spans="1:3" x14ac:dyDescent="0.25">
      <c r="A614" s="1">
        <v>613</v>
      </c>
      <c r="B614" s="4">
        <v>1450</v>
      </c>
      <c r="C614" s="1">
        <v>1</v>
      </c>
    </row>
    <row r="615" spans="1:3" x14ac:dyDescent="0.25">
      <c r="A615" s="1">
        <v>614</v>
      </c>
      <c r="B615" s="4">
        <v>529</v>
      </c>
      <c r="C615" s="1">
        <v>0</v>
      </c>
    </row>
    <row r="616" spans="1:3" x14ac:dyDescent="0.25">
      <c r="A616" s="1">
        <v>615</v>
      </c>
      <c r="B616" s="4">
        <v>444</v>
      </c>
      <c r="C616" s="1">
        <v>0</v>
      </c>
    </row>
    <row r="617" spans="1:3" x14ac:dyDescent="0.25">
      <c r="A617" s="1">
        <v>616</v>
      </c>
      <c r="B617" s="4">
        <v>496</v>
      </c>
      <c r="C617" s="1">
        <v>0</v>
      </c>
    </row>
    <row r="618" spans="1:3" x14ac:dyDescent="0.25">
      <c r="A618" s="1">
        <v>617</v>
      </c>
      <c r="B618" s="4">
        <v>613</v>
      </c>
      <c r="C618" s="1">
        <v>0</v>
      </c>
    </row>
    <row r="619" spans="1:3" x14ac:dyDescent="0.25">
      <c r="A619" s="1">
        <v>618</v>
      </c>
      <c r="B619" s="4">
        <v>425</v>
      </c>
      <c r="C619" s="1">
        <v>0</v>
      </c>
    </row>
    <row r="620" spans="1:3" x14ac:dyDescent="0.25">
      <c r="A620" s="1">
        <v>619</v>
      </c>
      <c r="B620" s="4">
        <v>1044</v>
      </c>
      <c r="C620" s="1">
        <v>1</v>
      </c>
    </row>
    <row r="621" spans="1:3" x14ac:dyDescent="0.25">
      <c r="A621" s="1">
        <v>620</v>
      </c>
      <c r="B621" s="4">
        <v>961</v>
      </c>
      <c r="C621" s="1">
        <v>1</v>
      </c>
    </row>
    <row r="622" spans="1:3" x14ac:dyDescent="0.25">
      <c r="A622" s="1">
        <v>621</v>
      </c>
      <c r="B622" s="4">
        <v>795</v>
      </c>
      <c r="C622" s="1">
        <v>0</v>
      </c>
    </row>
    <row r="623" spans="1:3" x14ac:dyDescent="0.25">
      <c r="A623" s="1">
        <v>622</v>
      </c>
      <c r="B623" s="4">
        <v>329</v>
      </c>
      <c r="C623" s="1">
        <v>0</v>
      </c>
    </row>
    <row r="624" spans="1:3" x14ac:dyDescent="0.25">
      <c r="A624" s="1">
        <v>623</v>
      </c>
      <c r="B624" s="4">
        <v>540</v>
      </c>
      <c r="C624" s="1">
        <v>0</v>
      </c>
    </row>
    <row r="625" spans="1:3" x14ac:dyDescent="0.25">
      <c r="A625" s="1">
        <v>624</v>
      </c>
      <c r="B625" s="4">
        <v>991</v>
      </c>
      <c r="C625" s="1">
        <v>1</v>
      </c>
    </row>
    <row r="626" spans="1:3" x14ac:dyDescent="0.25">
      <c r="A626" s="1">
        <v>625</v>
      </c>
      <c r="B626" s="4">
        <v>350</v>
      </c>
      <c r="C626" s="1">
        <v>0</v>
      </c>
    </row>
    <row r="627" spans="1:3" x14ac:dyDescent="0.25">
      <c r="A627" s="1">
        <v>626</v>
      </c>
      <c r="B627" s="4">
        <v>603</v>
      </c>
      <c r="C627" s="1">
        <v>0</v>
      </c>
    </row>
    <row r="628" spans="1:3" x14ac:dyDescent="0.25">
      <c r="A628" s="1">
        <v>627</v>
      </c>
      <c r="B628" s="4">
        <v>658</v>
      </c>
      <c r="C628" s="1">
        <v>0</v>
      </c>
    </row>
    <row r="629" spans="1:3" x14ac:dyDescent="0.25">
      <c r="A629" s="1">
        <v>628</v>
      </c>
      <c r="B629" s="4">
        <v>1389</v>
      </c>
      <c r="C629" s="1">
        <v>1</v>
      </c>
    </row>
    <row r="630" spans="1:3" x14ac:dyDescent="0.25">
      <c r="A630" s="1">
        <v>629</v>
      </c>
      <c r="B630" s="4">
        <v>379</v>
      </c>
      <c r="C630" s="1">
        <v>0</v>
      </c>
    </row>
    <row r="631" spans="1:3" x14ac:dyDescent="0.25">
      <c r="A631" s="1">
        <v>630</v>
      </c>
      <c r="B631" s="4">
        <v>688</v>
      </c>
      <c r="C631" s="1">
        <v>0</v>
      </c>
    </row>
    <row r="632" spans="1:3" x14ac:dyDescent="0.25">
      <c r="A632" s="1">
        <v>631</v>
      </c>
      <c r="B632" s="4">
        <v>675</v>
      </c>
      <c r="C632" s="1">
        <v>0</v>
      </c>
    </row>
    <row r="633" spans="1:3" x14ac:dyDescent="0.25">
      <c r="A633" s="1">
        <v>632</v>
      </c>
      <c r="B633" s="4">
        <v>611</v>
      </c>
      <c r="C633" s="1">
        <v>0</v>
      </c>
    </row>
    <row r="634" spans="1:3" x14ac:dyDescent="0.25">
      <c r="A634" s="1">
        <v>633</v>
      </c>
      <c r="B634" s="4">
        <v>471</v>
      </c>
      <c r="C634" s="1">
        <v>0</v>
      </c>
    </row>
    <row r="635" spans="1:3" x14ac:dyDescent="0.25">
      <c r="A635" s="1">
        <v>634</v>
      </c>
      <c r="B635" s="4">
        <v>1991</v>
      </c>
      <c r="C635" s="1">
        <v>1</v>
      </c>
    </row>
    <row r="636" spans="1:3" x14ac:dyDescent="0.25">
      <c r="A636" s="1">
        <v>635</v>
      </c>
      <c r="B636" s="4">
        <v>553</v>
      </c>
      <c r="C636" s="1">
        <v>0</v>
      </c>
    </row>
    <row r="637" spans="1:3" x14ac:dyDescent="0.25">
      <c r="A637" s="1">
        <v>636</v>
      </c>
      <c r="B637" s="4">
        <v>1397</v>
      </c>
      <c r="C637" s="1">
        <v>1</v>
      </c>
    </row>
    <row r="638" spans="1:3" x14ac:dyDescent="0.25">
      <c r="A638" s="1">
        <v>637</v>
      </c>
      <c r="B638" s="4">
        <v>958</v>
      </c>
      <c r="C638" s="1">
        <v>1</v>
      </c>
    </row>
    <row r="639" spans="1:3" x14ac:dyDescent="0.25">
      <c r="A639" s="1">
        <v>638</v>
      </c>
      <c r="B639" s="4">
        <v>372</v>
      </c>
      <c r="C639" s="1">
        <v>0</v>
      </c>
    </row>
    <row r="640" spans="1:3" x14ac:dyDescent="0.25">
      <c r="A640" s="1">
        <v>639</v>
      </c>
      <c r="B640" s="4">
        <v>951</v>
      </c>
      <c r="C640" s="1">
        <v>1</v>
      </c>
    </row>
    <row r="641" spans="1:3" x14ac:dyDescent="0.25">
      <c r="A641" s="1">
        <v>640</v>
      </c>
      <c r="B641" s="4">
        <v>236</v>
      </c>
      <c r="C641" s="1">
        <v>0</v>
      </c>
    </row>
    <row r="642" spans="1:3" x14ac:dyDescent="0.25">
      <c r="A642" s="1">
        <v>641</v>
      </c>
      <c r="B642" s="4">
        <v>403</v>
      </c>
      <c r="C642" s="1">
        <v>0</v>
      </c>
    </row>
    <row r="643" spans="1:3" x14ac:dyDescent="0.25">
      <c r="A643" s="1">
        <v>642</v>
      </c>
      <c r="B643" s="4">
        <v>1185</v>
      </c>
      <c r="C643" s="1">
        <v>1</v>
      </c>
    </row>
    <row r="644" spans="1:3" x14ac:dyDescent="0.25">
      <c r="A644" s="1">
        <v>643</v>
      </c>
      <c r="B644" s="4">
        <v>740</v>
      </c>
      <c r="C644" s="1">
        <v>0</v>
      </c>
    </row>
    <row r="645" spans="1:3" x14ac:dyDescent="0.25">
      <c r="A645" s="1">
        <v>644</v>
      </c>
      <c r="B645" s="4">
        <v>493</v>
      </c>
      <c r="C645" s="1">
        <v>0</v>
      </c>
    </row>
    <row r="646" spans="1:3" x14ac:dyDescent="0.25">
      <c r="A646" s="1">
        <v>645</v>
      </c>
      <c r="B646" s="4">
        <v>614</v>
      </c>
      <c r="C646" s="1">
        <v>1</v>
      </c>
    </row>
    <row r="647" spans="1:3" x14ac:dyDescent="0.25">
      <c r="A647" s="1">
        <v>646</v>
      </c>
      <c r="B647" s="4">
        <v>658</v>
      </c>
      <c r="C647" s="1">
        <v>0</v>
      </c>
    </row>
    <row r="648" spans="1:3" x14ac:dyDescent="0.25">
      <c r="A648" s="1">
        <v>647</v>
      </c>
      <c r="B648" s="4">
        <v>498</v>
      </c>
      <c r="C648" s="1">
        <v>0</v>
      </c>
    </row>
    <row r="649" spans="1:3" x14ac:dyDescent="0.25">
      <c r="A649" s="1">
        <v>648</v>
      </c>
      <c r="B649" s="4">
        <v>1282</v>
      </c>
      <c r="C649" s="1">
        <v>1</v>
      </c>
    </row>
    <row r="650" spans="1:3" x14ac:dyDescent="0.25">
      <c r="A650" s="1">
        <v>649</v>
      </c>
      <c r="B650" s="4">
        <v>293</v>
      </c>
      <c r="C650" s="1">
        <v>0</v>
      </c>
    </row>
    <row r="651" spans="1:3" x14ac:dyDescent="0.25">
      <c r="A651" s="1">
        <v>650</v>
      </c>
      <c r="B651" s="4">
        <v>517</v>
      </c>
      <c r="C651" s="1">
        <v>0</v>
      </c>
    </row>
    <row r="652" spans="1:3" x14ac:dyDescent="0.25">
      <c r="A652" s="1">
        <v>651</v>
      </c>
      <c r="B652" s="4">
        <v>442</v>
      </c>
      <c r="C652" s="1">
        <v>0</v>
      </c>
    </row>
    <row r="653" spans="1:3" x14ac:dyDescent="0.25">
      <c r="A653" s="1">
        <v>652</v>
      </c>
      <c r="B653" s="4">
        <v>306</v>
      </c>
      <c r="C653" s="1">
        <v>0</v>
      </c>
    </row>
    <row r="654" spans="1:3" x14ac:dyDescent="0.25">
      <c r="A654" s="1">
        <v>653</v>
      </c>
      <c r="B654" s="4">
        <v>357</v>
      </c>
      <c r="C654" s="1">
        <v>0</v>
      </c>
    </row>
    <row r="655" spans="1:3" x14ac:dyDescent="0.25">
      <c r="A655" s="1">
        <v>654</v>
      </c>
      <c r="B655" s="4">
        <v>686</v>
      </c>
      <c r="C655" s="1">
        <v>1</v>
      </c>
    </row>
    <row r="656" spans="1:3" x14ac:dyDescent="0.25">
      <c r="A656" s="1">
        <v>655</v>
      </c>
      <c r="B656" s="4">
        <v>767</v>
      </c>
      <c r="C656" s="1">
        <v>0</v>
      </c>
    </row>
    <row r="657" spans="1:3" x14ac:dyDescent="0.25">
      <c r="A657" s="1">
        <v>656</v>
      </c>
      <c r="B657" s="4">
        <v>518</v>
      </c>
      <c r="C657" s="1">
        <v>0</v>
      </c>
    </row>
    <row r="658" spans="1:3" x14ac:dyDescent="0.25">
      <c r="A658" s="1">
        <v>657</v>
      </c>
      <c r="B658" s="4">
        <v>1653</v>
      </c>
      <c r="C658" s="1">
        <v>1</v>
      </c>
    </row>
    <row r="659" spans="1:3" x14ac:dyDescent="0.25">
      <c r="A659" s="1">
        <v>658</v>
      </c>
      <c r="B659" s="4">
        <v>382</v>
      </c>
      <c r="C659" s="1">
        <v>0</v>
      </c>
    </row>
    <row r="660" spans="1:3" x14ac:dyDescent="0.25">
      <c r="A660" s="1">
        <v>659</v>
      </c>
      <c r="B660" s="4">
        <v>554</v>
      </c>
      <c r="C660" s="1">
        <v>0</v>
      </c>
    </row>
    <row r="661" spans="1:3" x14ac:dyDescent="0.25">
      <c r="A661" s="1">
        <v>660</v>
      </c>
      <c r="B661" s="4">
        <v>157</v>
      </c>
      <c r="C661" s="1">
        <v>0</v>
      </c>
    </row>
    <row r="662" spans="1:3" x14ac:dyDescent="0.25">
      <c r="A662" s="1">
        <v>661</v>
      </c>
      <c r="B662" s="4">
        <v>793</v>
      </c>
      <c r="C662" s="1">
        <v>0</v>
      </c>
    </row>
    <row r="663" spans="1:3" x14ac:dyDescent="0.25">
      <c r="A663" s="1">
        <v>662</v>
      </c>
      <c r="B663" s="4">
        <v>1262</v>
      </c>
      <c r="C663" s="1">
        <v>1</v>
      </c>
    </row>
    <row r="664" spans="1:3" x14ac:dyDescent="0.25">
      <c r="A664" s="1">
        <v>663</v>
      </c>
      <c r="B664" s="4">
        <v>446</v>
      </c>
      <c r="C664" s="1">
        <v>0</v>
      </c>
    </row>
    <row r="665" spans="1:3" x14ac:dyDescent="0.25">
      <c r="A665" s="1">
        <v>664</v>
      </c>
      <c r="B665" s="4">
        <v>802</v>
      </c>
      <c r="C665" s="1">
        <v>0</v>
      </c>
    </row>
    <row r="666" spans="1:3" x14ac:dyDescent="0.25">
      <c r="A666" s="1">
        <v>665</v>
      </c>
      <c r="B666" s="4">
        <v>505</v>
      </c>
      <c r="C666" s="1">
        <v>0</v>
      </c>
    </row>
    <row r="667" spans="1:3" x14ac:dyDescent="0.25">
      <c r="A667" s="1">
        <v>666</v>
      </c>
      <c r="B667" s="4">
        <v>140</v>
      </c>
      <c r="C667" s="1">
        <v>0</v>
      </c>
    </row>
    <row r="668" spans="1:3" x14ac:dyDescent="0.25">
      <c r="A668" s="1">
        <v>667</v>
      </c>
      <c r="B668" s="4">
        <v>910</v>
      </c>
      <c r="C668" s="1">
        <v>0</v>
      </c>
    </row>
    <row r="669" spans="1:3" x14ac:dyDescent="0.25">
      <c r="A669" s="1">
        <v>668</v>
      </c>
      <c r="B669" s="4">
        <v>343</v>
      </c>
      <c r="C669" s="1">
        <v>0</v>
      </c>
    </row>
    <row r="670" spans="1:3" x14ac:dyDescent="0.25">
      <c r="A670" s="1">
        <v>669</v>
      </c>
      <c r="B670" s="4">
        <v>519</v>
      </c>
      <c r="C670" s="1">
        <v>0</v>
      </c>
    </row>
    <row r="671" spans="1:3" x14ac:dyDescent="0.25">
      <c r="A671" s="1">
        <v>670</v>
      </c>
      <c r="B671" s="4">
        <v>862</v>
      </c>
      <c r="C671" s="1">
        <v>0</v>
      </c>
    </row>
    <row r="672" spans="1:3" x14ac:dyDescent="0.25">
      <c r="A672" s="1">
        <v>671</v>
      </c>
      <c r="B672" s="4">
        <v>465</v>
      </c>
      <c r="C672" s="1">
        <v>0</v>
      </c>
    </row>
    <row r="673" spans="1:3" x14ac:dyDescent="0.25">
      <c r="A673" s="1">
        <v>672</v>
      </c>
      <c r="B673" s="4">
        <v>327</v>
      </c>
      <c r="C673" s="1">
        <v>0</v>
      </c>
    </row>
    <row r="674" spans="1:3" x14ac:dyDescent="0.25">
      <c r="A674" s="1">
        <v>673</v>
      </c>
      <c r="B674" s="4">
        <v>964</v>
      </c>
      <c r="C674" s="1">
        <v>1</v>
      </c>
    </row>
    <row r="675" spans="1:3" x14ac:dyDescent="0.25">
      <c r="A675" s="1">
        <v>674</v>
      </c>
      <c r="B675" s="4">
        <v>718</v>
      </c>
      <c r="C675" s="1">
        <v>0</v>
      </c>
    </row>
    <row r="676" spans="1:3" x14ac:dyDescent="0.25">
      <c r="A676" s="1">
        <v>675</v>
      </c>
      <c r="B676" s="4">
        <v>1755</v>
      </c>
      <c r="C676" s="1">
        <v>1</v>
      </c>
    </row>
    <row r="677" spans="1:3" x14ac:dyDescent="0.25">
      <c r="A677" s="1">
        <v>676</v>
      </c>
      <c r="B677" s="4">
        <v>361</v>
      </c>
      <c r="C677" s="1">
        <v>0</v>
      </c>
    </row>
    <row r="678" spans="1:3" x14ac:dyDescent="0.25">
      <c r="A678" s="1">
        <v>677</v>
      </c>
      <c r="B678" s="4">
        <v>490</v>
      </c>
      <c r="C678" s="1">
        <v>0</v>
      </c>
    </row>
    <row r="679" spans="1:3" x14ac:dyDescent="0.25">
      <c r="A679" s="1">
        <v>678</v>
      </c>
      <c r="B679" s="4">
        <v>601</v>
      </c>
      <c r="C679" s="1">
        <v>0</v>
      </c>
    </row>
    <row r="680" spans="1:3" x14ac:dyDescent="0.25">
      <c r="A680" s="1">
        <v>679</v>
      </c>
      <c r="B680" s="4">
        <v>239</v>
      </c>
      <c r="C680" s="1">
        <v>0</v>
      </c>
    </row>
    <row r="681" spans="1:3" x14ac:dyDescent="0.25">
      <c r="A681" s="1">
        <v>680</v>
      </c>
      <c r="B681" s="4">
        <v>510</v>
      </c>
      <c r="C681" s="1">
        <v>0</v>
      </c>
    </row>
    <row r="682" spans="1:3" x14ac:dyDescent="0.25">
      <c r="A682" s="1">
        <v>681</v>
      </c>
      <c r="B682" s="4">
        <v>421</v>
      </c>
      <c r="C682" s="1">
        <v>0</v>
      </c>
    </row>
    <row r="683" spans="1:3" x14ac:dyDescent="0.25">
      <c r="A683" s="1">
        <v>682</v>
      </c>
      <c r="B683" s="4">
        <v>335</v>
      </c>
      <c r="C683" s="1">
        <v>0</v>
      </c>
    </row>
    <row r="684" spans="1:3" x14ac:dyDescent="0.25">
      <c r="A684" s="1">
        <v>683</v>
      </c>
      <c r="B684" s="4">
        <v>461</v>
      </c>
      <c r="C684" s="1">
        <v>0</v>
      </c>
    </row>
    <row r="685" spans="1:3" x14ac:dyDescent="0.25">
      <c r="A685" s="1">
        <v>684</v>
      </c>
      <c r="B685" s="4">
        <v>1568</v>
      </c>
      <c r="C685" s="1">
        <v>1</v>
      </c>
    </row>
    <row r="686" spans="1:3" x14ac:dyDescent="0.25">
      <c r="A686" s="1">
        <v>685</v>
      </c>
      <c r="B686" s="4">
        <v>256</v>
      </c>
      <c r="C686" s="1">
        <v>0</v>
      </c>
    </row>
    <row r="687" spans="1:3" x14ac:dyDescent="0.25">
      <c r="A687" s="1">
        <v>686</v>
      </c>
      <c r="B687" s="4">
        <v>521</v>
      </c>
      <c r="C687" s="1">
        <v>0</v>
      </c>
    </row>
    <row r="688" spans="1:3" x14ac:dyDescent="0.25">
      <c r="A688" s="1">
        <v>687</v>
      </c>
      <c r="B688" s="4">
        <v>451</v>
      </c>
      <c r="C688" s="1">
        <v>0</v>
      </c>
    </row>
    <row r="689" spans="1:3" x14ac:dyDescent="0.25">
      <c r="A689" s="1">
        <v>688</v>
      </c>
      <c r="B689" s="4">
        <v>445</v>
      </c>
      <c r="C689" s="1">
        <v>0</v>
      </c>
    </row>
    <row r="690" spans="1:3" x14ac:dyDescent="0.25">
      <c r="A690" s="1">
        <v>689</v>
      </c>
      <c r="B690" s="4">
        <v>471</v>
      </c>
      <c r="C690" s="1">
        <v>0</v>
      </c>
    </row>
    <row r="691" spans="1:3" x14ac:dyDescent="0.25">
      <c r="A691" s="1">
        <v>690</v>
      </c>
      <c r="B691" s="4">
        <v>1009</v>
      </c>
      <c r="C691" s="1">
        <v>1</v>
      </c>
    </row>
    <row r="692" spans="1:3" x14ac:dyDescent="0.25">
      <c r="A692" s="1">
        <v>691</v>
      </c>
      <c r="B692" s="4">
        <v>760</v>
      </c>
      <c r="C692" s="1">
        <v>1</v>
      </c>
    </row>
    <row r="693" spans="1:3" x14ac:dyDescent="0.25">
      <c r="A693" s="1">
        <v>692</v>
      </c>
      <c r="B693" s="4">
        <v>717</v>
      </c>
      <c r="C693" s="1">
        <v>0</v>
      </c>
    </row>
    <row r="694" spans="1:3" x14ac:dyDescent="0.25">
      <c r="A694" s="1">
        <v>693</v>
      </c>
      <c r="B694" s="4">
        <v>612</v>
      </c>
      <c r="C694" s="1">
        <v>0</v>
      </c>
    </row>
    <row r="695" spans="1:3" x14ac:dyDescent="0.25">
      <c r="A695" s="1">
        <v>694</v>
      </c>
      <c r="B695" s="4">
        <v>1518</v>
      </c>
      <c r="C695" s="1">
        <v>1</v>
      </c>
    </row>
    <row r="696" spans="1:3" x14ac:dyDescent="0.25">
      <c r="A696" s="1">
        <v>695</v>
      </c>
      <c r="B696" s="4">
        <v>664</v>
      </c>
      <c r="C696" s="1">
        <v>0</v>
      </c>
    </row>
    <row r="697" spans="1:3" x14ac:dyDescent="0.25">
      <c r="A697" s="1">
        <v>696</v>
      </c>
      <c r="B697" s="4">
        <v>753</v>
      </c>
      <c r="C697" s="1">
        <v>0</v>
      </c>
    </row>
    <row r="698" spans="1:3" x14ac:dyDescent="0.25">
      <c r="A698" s="1">
        <v>697</v>
      </c>
      <c r="B698" s="4">
        <v>690</v>
      </c>
      <c r="C698" s="1">
        <v>0</v>
      </c>
    </row>
    <row r="699" spans="1:3" x14ac:dyDescent="0.25">
      <c r="A699" s="1">
        <v>698</v>
      </c>
      <c r="B699" s="4">
        <v>293</v>
      </c>
      <c r="C699" s="1">
        <v>0</v>
      </c>
    </row>
    <row r="700" spans="1:3" x14ac:dyDescent="0.25">
      <c r="A700" s="1">
        <v>699</v>
      </c>
      <c r="B700" s="4">
        <v>633</v>
      </c>
      <c r="C700" s="1">
        <v>0</v>
      </c>
    </row>
    <row r="701" spans="1:3" x14ac:dyDescent="0.25">
      <c r="A701" s="1">
        <v>700</v>
      </c>
      <c r="B701" s="4">
        <v>1818</v>
      </c>
      <c r="C701" s="1">
        <v>1</v>
      </c>
    </row>
    <row r="702" spans="1:3" x14ac:dyDescent="0.25">
      <c r="A702" s="1">
        <v>701</v>
      </c>
      <c r="B702" s="4">
        <v>575</v>
      </c>
      <c r="C702" s="1">
        <v>0</v>
      </c>
    </row>
    <row r="703" spans="1:3" x14ac:dyDescent="0.25">
      <c r="A703" s="1">
        <v>702</v>
      </c>
      <c r="B703" s="4">
        <v>161</v>
      </c>
      <c r="C703" s="1">
        <v>0</v>
      </c>
    </row>
    <row r="704" spans="1:3" x14ac:dyDescent="0.25">
      <c r="A704" s="1">
        <v>703</v>
      </c>
      <c r="B704" s="4">
        <v>583</v>
      </c>
      <c r="C704" s="1">
        <v>0</v>
      </c>
    </row>
    <row r="705" spans="1:3" x14ac:dyDescent="0.25">
      <c r="A705" s="1">
        <v>704</v>
      </c>
      <c r="B705" s="4">
        <v>1253</v>
      </c>
      <c r="C705" s="1">
        <v>1</v>
      </c>
    </row>
    <row r="706" spans="1:3" x14ac:dyDescent="0.25">
      <c r="A706" s="1">
        <v>705</v>
      </c>
      <c r="B706" s="4">
        <v>240</v>
      </c>
      <c r="C706" s="1">
        <v>0</v>
      </c>
    </row>
    <row r="707" spans="1:3" x14ac:dyDescent="0.25">
      <c r="A707" s="1">
        <v>706</v>
      </c>
      <c r="B707" s="4">
        <v>1769</v>
      </c>
      <c r="C707" s="1">
        <v>1</v>
      </c>
    </row>
    <row r="708" spans="1:3" x14ac:dyDescent="0.25">
      <c r="A708" s="1">
        <v>707</v>
      </c>
      <c r="B708" s="4">
        <v>946</v>
      </c>
      <c r="C708" s="1">
        <v>1</v>
      </c>
    </row>
    <row r="709" spans="1:3" x14ac:dyDescent="0.25">
      <c r="A709" s="1">
        <v>708</v>
      </c>
      <c r="B709" s="4">
        <v>127</v>
      </c>
      <c r="C709" s="1">
        <v>0</v>
      </c>
    </row>
    <row r="710" spans="1:3" x14ac:dyDescent="0.25">
      <c r="A710" s="1">
        <v>709</v>
      </c>
      <c r="B710" s="4">
        <v>767</v>
      </c>
      <c r="C710" s="1">
        <v>0</v>
      </c>
    </row>
    <row r="711" spans="1:3" x14ac:dyDescent="0.25">
      <c r="A711" s="1">
        <v>710</v>
      </c>
      <c r="B711" s="4">
        <v>515</v>
      </c>
      <c r="C711" s="1">
        <v>0</v>
      </c>
    </row>
    <row r="712" spans="1:3" x14ac:dyDescent="0.25">
      <c r="A712" s="1">
        <v>711</v>
      </c>
      <c r="B712" s="4">
        <v>883</v>
      </c>
      <c r="C712" s="1">
        <v>0</v>
      </c>
    </row>
    <row r="713" spans="1:3" x14ac:dyDescent="0.25">
      <c r="A713" s="1">
        <v>712</v>
      </c>
      <c r="B713" s="4">
        <v>452</v>
      </c>
      <c r="C713" s="1">
        <v>0</v>
      </c>
    </row>
    <row r="714" spans="1:3" x14ac:dyDescent="0.25">
      <c r="A714" s="1">
        <v>713</v>
      </c>
      <c r="B714" s="4">
        <v>255</v>
      </c>
      <c r="C714" s="1">
        <v>0</v>
      </c>
    </row>
    <row r="715" spans="1:3" x14ac:dyDescent="0.25">
      <c r="A715" s="1">
        <v>714</v>
      </c>
      <c r="B715" s="4">
        <v>131</v>
      </c>
      <c r="C715" s="1">
        <v>0</v>
      </c>
    </row>
    <row r="716" spans="1:3" x14ac:dyDescent="0.25">
      <c r="A716" s="1">
        <v>715</v>
      </c>
      <c r="B716" s="4">
        <v>612</v>
      </c>
      <c r="C716" s="1">
        <v>0</v>
      </c>
    </row>
    <row r="717" spans="1:3" x14ac:dyDescent="0.25">
      <c r="A717" s="1">
        <v>716</v>
      </c>
      <c r="B717" s="4">
        <v>1312</v>
      </c>
      <c r="C717" s="1">
        <v>1</v>
      </c>
    </row>
    <row r="718" spans="1:3" x14ac:dyDescent="0.25">
      <c r="A718" s="1">
        <v>717</v>
      </c>
      <c r="B718" s="4">
        <v>841</v>
      </c>
      <c r="C718" s="1">
        <v>1</v>
      </c>
    </row>
    <row r="719" spans="1:3" x14ac:dyDescent="0.25">
      <c r="A719" s="1">
        <v>718</v>
      </c>
      <c r="B719" s="4">
        <v>836</v>
      </c>
      <c r="C719" s="1">
        <v>0</v>
      </c>
    </row>
    <row r="720" spans="1:3" x14ac:dyDescent="0.25">
      <c r="A720" s="1">
        <v>719</v>
      </c>
      <c r="B720" s="4">
        <v>1261</v>
      </c>
      <c r="C720" s="1">
        <v>1</v>
      </c>
    </row>
    <row r="721" spans="1:3" x14ac:dyDescent="0.25">
      <c r="A721" s="1">
        <v>720</v>
      </c>
      <c r="B721" s="4">
        <v>749</v>
      </c>
      <c r="C721" s="1">
        <v>0</v>
      </c>
    </row>
    <row r="722" spans="1:3" x14ac:dyDescent="0.25">
      <c r="A722" s="1">
        <v>721</v>
      </c>
      <c r="B722" s="4">
        <v>772</v>
      </c>
      <c r="C722" s="1">
        <v>1</v>
      </c>
    </row>
    <row r="723" spans="1:3" x14ac:dyDescent="0.25">
      <c r="A723" s="1">
        <v>722</v>
      </c>
      <c r="B723" s="4">
        <v>317</v>
      </c>
      <c r="C723" s="1">
        <v>0</v>
      </c>
    </row>
    <row r="724" spans="1:3" x14ac:dyDescent="0.25">
      <c r="A724" s="1">
        <v>723</v>
      </c>
      <c r="B724" s="4">
        <v>567</v>
      </c>
      <c r="C724" s="1">
        <v>0</v>
      </c>
    </row>
    <row r="725" spans="1:3" x14ac:dyDescent="0.25">
      <c r="A725" s="1">
        <v>724</v>
      </c>
      <c r="B725" s="4">
        <v>356</v>
      </c>
      <c r="C725" s="1">
        <v>0</v>
      </c>
    </row>
    <row r="726" spans="1:3" x14ac:dyDescent="0.25">
      <c r="A726" s="1">
        <v>725</v>
      </c>
      <c r="B726" s="4">
        <v>699</v>
      </c>
      <c r="C726" s="1">
        <v>1</v>
      </c>
    </row>
    <row r="727" spans="1:3" x14ac:dyDescent="0.25">
      <c r="A727" s="1">
        <v>726</v>
      </c>
      <c r="B727" s="4">
        <v>1049</v>
      </c>
      <c r="C727" s="1">
        <v>1</v>
      </c>
    </row>
    <row r="728" spans="1:3" x14ac:dyDescent="0.25">
      <c r="A728" s="1">
        <v>727</v>
      </c>
      <c r="B728" s="4">
        <v>559</v>
      </c>
      <c r="C728" s="1">
        <v>0</v>
      </c>
    </row>
    <row r="729" spans="1:3" x14ac:dyDescent="0.25">
      <c r="A729" s="1">
        <v>728</v>
      </c>
      <c r="B729" s="4">
        <v>947</v>
      </c>
      <c r="C729" s="1">
        <v>1</v>
      </c>
    </row>
    <row r="730" spans="1:3" x14ac:dyDescent="0.25">
      <c r="A730" s="1">
        <v>729</v>
      </c>
      <c r="B730" s="4">
        <v>683</v>
      </c>
      <c r="C730" s="1">
        <v>1</v>
      </c>
    </row>
    <row r="731" spans="1:3" x14ac:dyDescent="0.25">
      <c r="A731" s="1">
        <v>730</v>
      </c>
      <c r="B731" s="4">
        <v>713</v>
      </c>
      <c r="C731" s="1">
        <v>0</v>
      </c>
    </row>
    <row r="732" spans="1:3" x14ac:dyDescent="0.25">
      <c r="A732" s="1">
        <v>731</v>
      </c>
      <c r="B732" s="4">
        <v>1028</v>
      </c>
      <c r="C732" s="1">
        <v>1</v>
      </c>
    </row>
    <row r="733" spans="1:3" x14ac:dyDescent="0.25">
      <c r="A733" s="1">
        <v>732</v>
      </c>
      <c r="B733" s="4">
        <v>801</v>
      </c>
      <c r="C733" s="1">
        <v>1</v>
      </c>
    </row>
    <row r="734" spans="1:3" x14ac:dyDescent="0.25">
      <c r="A734" s="1">
        <v>733</v>
      </c>
      <c r="B734" s="4">
        <v>167</v>
      </c>
      <c r="C734" s="1">
        <v>0</v>
      </c>
    </row>
    <row r="735" spans="1:3" x14ac:dyDescent="0.25">
      <c r="A735" s="1">
        <v>734</v>
      </c>
      <c r="B735" s="4">
        <v>841</v>
      </c>
      <c r="C735" s="1">
        <v>0</v>
      </c>
    </row>
    <row r="736" spans="1:3" x14ac:dyDescent="0.25">
      <c r="A736" s="1">
        <v>735</v>
      </c>
      <c r="B736" s="4">
        <v>663</v>
      </c>
      <c r="C736" s="1">
        <v>0</v>
      </c>
    </row>
    <row r="737" spans="1:3" x14ac:dyDescent="0.25">
      <c r="A737" s="1">
        <v>736</v>
      </c>
      <c r="B737" s="4">
        <v>1406</v>
      </c>
      <c r="C737" s="1">
        <v>1</v>
      </c>
    </row>
    <row r="738" spans="1:3" x14ac:dyDescent="0.25">
      <c r="A738" s="1">
        <v>737</v>
      </c>
      <c r="B738" s="4">
        <v>259</v>
      </c>
      <c r="C738" s="1">
        <v>0</v>
      </c>
    </row>
    <row r="739" spans="1:3" x14ac:dyDescent="0.25">
      <c r="A739" s="1">
        <v>738</v>
      </c>
      <c r="B739" s="4">
        <v>418</v>
      </c>
      <c r="C739" s="1">
        <v>0</v>
      </c>
    </row>
    <row r="740" spans="1:3" x14ac:dyDescent="0.25">
      <c r="A740" s="1">
        <v>739</v>
      </c>
      <c r="B740" s="4">
        <v>1730</v>
      </c>
      <c r="C740" s="1">
        <v>1</v>
      </c>
    </row>
    <row r="741" spans="1:3" x14ac:dyDescent="0.25">
      <c r="A741" s="1">
        <v>740</v>
      </c>
      <c r="B741" s="4">
        <v>119</v>
      </c>
      <c r="C741" s="1">
        <v>0</v>
      </c>
    </row>
    <row r="742" spans="1:3" x14ac:dyDescent="0.25">
      <c r="A742" s="1">
        <v>741</v>
      </c>
      <c r="B742" s="4">
        <v>462</v>
      </c>
      <c r="C742" s="1">
        <v>0</v>
      </c>
    </row>
    <row r="743" spans="1:3" x14ac:dyDescent="0.25">
      <c r="A743" s="1">
        <v>742</v>
      </c>
      <c r="B743" s="4">
        <v>704</v>
      </c>
      <c r="C743" s="1">
        <v>0</v>
      </c>
    </row>
    <row r="744" spans="1:3" x14ac:dyDescent="0.25">
      <c r="A744" s="1">
        <v>743</v>
      </c>
      <c r="B744" s="4">
        <v>556</v>
      </c>
      <c r="C744" s="1">
        <v>0</v>
      </c>
    </row>
    <row r="745" spans="1:3" x14ac:dyDescent="0.25">
      <c r="A745" s="1">
        <v>744</v>
      </c>
      <c r="B745" s="4">
        <v>1264</v>
      </c>
      <c r="C745" s="1">
        <v>1</v>
      </c>
    </row>
    <row r="746" spans="1:3" x14ac:dyDescent="0.25">
      <c r="A746" s="1">
        <v>745</v>
      </c>
      <c r="B746" s="4">
        <v>422</v>
      </c>
      <c r="C746" s="1">
        <v>0</v>
      </c>
    </row>
    <row r="747" spans="1:3" x14ac:dyDescent="0.25">
      <c r="A747" s="1">
        <v>746</v>
      </c>
      <c r="B747" s="4">
        <v>369</v>
      </c>
      <c r="C747" s="1">
        <v>0</v>
      </c>
    </row>
    <row r="748" spans="1:3" x14ac:dyDescent="0.25">
      <c r="A748" s="1">
        <v>747</v>
      </c>
      <c r="B748" s="4">
        <v>665</v>
      </c>
      <c r="C748" s="1">
        <v>0</v>
      </c>
    </row>
    <row r="749" spans="1:3" x14ac:dyDescent="0.25">
      <c r="A749" s="1">
        <v>748</v>
      </c>
      <c r="B749" s="4">
        <v>815</v>
      </c>
      <c r="C749" s="1">
        <v>0</v>
      </c>
    </row>
    <row r="750" spans="1:3" x14ac:dyDescent="0.25">
      <c r="A750" s="1">
        <v>749</v>
      </c>
      <c r="B750" s="4">
        <v>1436</v>
      </c>
      <c r="C750" s="1">
        <v>1</v>
      </c>
    </row>
    <row r="751" spans="1:3" x14ac:dyDescent="0.25">
      <c r="A751" s="1">
        <v>750</v>
      </c>
      <c r="B751" s="4">
        <v>1063</v>
      </c>
      <c r="C751" s="1">
        <v>1</v>
      </c>
    </row>
    <row r="752" spans="1:3" x14ac:dyDescent="0.25">
      <c r="A752" s="1">
        <v>751</v>
      </c>
      <c r="B752" s="4">
        <v>1358</v>
      </c>
      <c r="C752" s="1">
        <v>1</v>
      </c>
    </row>
    <row r="753" spans="1:3" x14ac:dyDescent="0.25">
      <c r="A753" s="1">
        <v>752</v>
      </c>
      <c r="B753" s="4">
        <v>268</v>
      </c>
      <c r="C753" s="1">
        <v>0</v>
      </c>
    </row>
    <row r="754" spans="1:3" x14ac:dyDescent="0.25">
      <c r="A754" s="1">
        <v>753</v>
      </c>
      <c r="B754" s="4">
        <v>165</v>
      </c>
      <c r="C754" s="1">
        <v>0</v>
      </c>
    </row>
    <row r="755" spans="1:3" x14ac:dyDescent="0.25">
      <c r="A755" s="1">
        <v>754</v>
      </c>
      <c r="B755" s="4">
        <v>182</v>
      </c>
      <c r="C755" s="1">
        <v>0</v>
      </c>
    </row>
    <row r="756" spans="1:3" x14ac:dyDescent="0.25">
      <c r="A756" s="1">
        <v>755</v>
      </c>
      <c r="B756" s="4">
        <v>818</v>
      </c>
      <c r="C756" s="1">
        <v>1</v>
      </c>
    </row>
    <row r="757" spans="1:3" x14ac:dyDescent="0.25">
      <c r="A757" s="1">
        <v>756</v>
      </c>
      <c r="B757" s="4">
        <v>798</v>
      </c>
      <c r="C757" s="1">
        <v>0</v>
      </c>
    </row>
    <row r="758" spans="1:3" x14ac:dyDescent="0.25">
      <c r="A758" s="1">
        <v>757</v>
      </c>
      <c r="B758" s="4">
        <v>203</v>
      </c>
      <c r="C758" s="1">
        <v>0</v>
      </c>
    </row>
    <row r="759" spans="1:3" x14ac:dyDescent="0.25">
      <c r="A759" s="1">
        <v>758</v>
      </c>
      <c r="B759" s="4">
        <v>723</v>
      </c>
      <c r="C759" s="1">
        <v>0</v>
      </c>
    </row>
    <row r="760" spans="1:3" x14ac:dyDescent="0.25">
      <c r="A760" s="1">
        <v>759</v>
      </c>
      <c r="B760" s="4">
        <v>768</v>
      </c>
      <c r="C760" s="1">
        <v>0</v>
      </c>
    </row>
    <row r="761" spans="1:3" x14ac:dyDescent="0.25">
      <c r="A761" s="1">
        <v>760</v>
      </c>
      <c r="B761" s="4">
        <v>856</v>
      </c>
      <c r="C761" s="1">
        <v>1</v>
      </c>
    </row>
    <row r="762" spans="1:3" x14ac:dyDescent="0.25">
      <c r="A762" s="1">
        <v>761</v>
      </c>
      <c r="B762" s="4">
        <v>849</v>
      </c>
      <c r="C762" s="1">
        <v>1</v>
      </c>
    </row>
    <row r="763" spans="1:3" x14ac:dyDescent="0.25">
      <c r="A763" s="1">
        <v>762</v>
      </c>
      <c r="B763" s="4">
        <v>773</v>
      </c>
      <c r="C763" s="1">
        <v>1</v>
      </c>
    </row>
    <row r="764" spans="1:3" x14ac:dyDescent="0.25">
      <c r="A764" s="1">
        <v>763</v>
      </c>
      <c r="B764" s="4">
        <v>1534</v>
      </c>
      <c r="C764" s="1">
        <v>1</v>
      </c>
    </row>
    <row r="765" spans="1:3" x14ac:dyDescent="0.25">
      <c r="A765" s="1">
        <v>764</v>
      </c>
      <c r="B765" s="4">
        <v>486</v>
      </c>
      <c r="C765" s="1">
        <v>0</v>
      </c>
    </row>
    <row r="766" spans="1:3" x14ac:dyDescent="0.25">
      <c r="A766" s="1">
        <v>765</v>
      </c>
      <c r="B766" s="4">
        <v>943</v>
      </c>
      <c r="C766" s="1">
        <v>0</v>
      </c>
    </row>
    <row r="767" spans="1:3" x14ac:dyDescent="0.25">
      <c r="A767" s="1">
        <v>766</v>
      </c>
      <c r="B767" s="4">
        <v>1321</v>
      </c>
      <c r="C767" s="1">
        <v>1</v>
      </c>
    </row>
    <row r="768" spans="1:3" x14ac:dyDescent="0.25">
      <c r="A768" s="1">
        <v>767</v>
      </c>
      <c r="B768" s="4">
        <v>1345</v>
      </c>
      <c r="C768" s="1">
        <v>1</v>
      </c>
    </row>
    <row r="769" spans="1:3" x14ac:dyDescent="0.25">
      <c r="A769" s="1">
        <v>768</v>
      </c>
      <c r="B769" s="4">
        <v>507</v>
      </c>
      <c r="C769" s="1">
        <v>0</v>
      </c>
    </row>
    <row r="770" spans="1:3" x14ac:dyDescent="0.25">
      <c r="A770" s="1">
        <v>769</v>
      </c>
      <c r="B770" s="4">
        <v>757</v>
      </c>
      <c r="C770" s="1">
        <v>0</v>
      </c>
    </row>
    <row r="771" spans="1:3" x14ac:dyDescent="0.25">
      <c r="A771" s="1">
        <v>770</v>
      </c>
      <c r="B771" s="4">
        <v>387</v>
      </c>
      <c r="C771" s="1">
        <v>0</v>
      </c>
    </row>
    <row r="772" spans="1:3" x14ac:dyDescent="0.25">
      <c r="A772" s="1">
        <v>771</v>
      </c>
      <c r="B772" s="4">
        <v>1331</v>
      </c>
      <c r="C772" s="1">
        <v>1</v>
      </c>
    </row>
    <row r="773" spans="1:3" x14ac:dyDescent="0.25">
      <c r="A773" s="1">
        <v>772</v>
      </c>
      <c r="B773" s="4">
        <v>1028</v>
      </c>
      <c r="C773" s="1">
        <v>1</v>
      </c>
    </row>
    <row r="774" spans="1:3" x14ac:dyDescent="0.25">
      <c r="A774" s="1">
        <v>773</v>
      </c>
      <c r="B774" s="4">
        <v>469</v>
      </c>
      <c r="C774" s="1">
        <v>0</v>
      </c>
    </row>
    <row r="775" spans="1:3" x14ac:dyDescent="0.25">
      <c r="A775" s="1">
        <v>774</v>
      </c>
      <c r="B775" s="4">
        <v>572</v>
      </c>
      <c r="C775" s="1">
        <v>0</v>
      </c>
    </row>
    <row r="776" spans="1:3" x14ac:dyDescent="0.25">
      <c r="A776" s="1">
        <v>775</v>
      </c>
      <c r="B776" s="4">
        <v>766</v>
      </c>
      <c r="C776" s="1">
        <v>0</v>
      </c>
    </row>
    <row r="777" spans="1:3" x14ac:dyDescent="0.25">
      <c r="A777" s="1">
        <v>776</v>
      </c>
      <c r="B777" s="4">
        <v>215</v>
      </c>
      <c r="C777" s="1">
        <v>0</v>
      </c>
    </row>
    <row r="778" spans="1:3" x14ac:dyDescent="0.25">
      <c r="A778" s="1">
        <v>777</v>
      </c>
      <c r="B778" s="4">
        <v>839</v>
      </c>
      <c r="C778" s="1">
        <v>1</v>
      </c>
    </row>
    <row r="779" spans="1:3" x14ac:dyDescent="0.25">
      <c r="A779" s="1">
        <v>778</v>
      </c>
      <c r="B779" s="4">
        <v>267</v>
      </c>
      <c r="C779" s="1">
        <v>0</v>
      </c>
    </row>
    <row r="780" spans="1:3" x14ac:dyDescent="0.25">
      <c r="A780" s="1">
        <v>779</v>
      </c>
      <c r="B780" s="4">
        <v>847</v>
      </c>
      <c r="C780" s="1">
        <v>1</v>
      </c>
    </row>
    <row r="781" spans="1:3" x14ac:dyDescent="0.25">
      <c r="A781" s="1">
        <v>780</v>
      </c>
      <c r="B781" s="4">
        <v>988</v>
      </c>
      <c r="C781" s="1">
        <v>1</v>
      </c>
    </row>
    <row r="782" spans="1:3" x14ac:dyDescent="0.25">
      <c r="A782" s="1">
        <v>781</v>
      </c>
      <c r="B782" s="4">
        <v>1179</v>
      </c>
      <c r="C782" s="1">
        <v>1</v>
      </c>
    </row>
    <row r="783" spans="1:3" x14ac:dyDescent="0.25">
      <c r="A783" s="1">
        <v>782</v>
      </c>
      <c r="B783" s="4">
        <v>423</v>
      </c>
      <c r="C783" s="1">
        <v>0</v>
      </c>
    </row>
    <row r="784" spans="1:3" x14ac:dyDescent="0.25">
      <c r="A784" s="1">
        <v>783</v>
      </c>
      <c r="B784" s="4">
        <v>583</v>
      </c>
      <c r="C784" s="1">
        <v>0</v>
      </c>
    </row>
    <row r="785" spans="1:3" x14ac:dyDescent="0.25">
      <c r="A785" s="1">
        <v>784</v>
      </c>
      <c r="B785" s="4">
        <v>584</v>
      </c>
      <c r="C785" s="1">
        <v>0</v>
      </c>
    </row>
    <row r="786" spans="1:3" x14ac:dyDescent="0.25">
      <c r="A786" s="1">
        <v>785</v>
      </c>
      <c r="B786" s="4">
        <v>752</v>
      </c>
      <c r="C786" s="1">
        <v>1</v>
      </c>
    </row>
    <row r="787" spans="1:3" x14ac:dyDescent="0.25">
      <c r="A787" s="1">
        <v>786</v>
      </c>
      <c r="B787" s="4">
        <v>1171</v>
      </c>
      <c r="C787" s="1">
        <v>1</v>
      </c>
    </row>
    <row r="788" spans="1:3" x14ac:dyDescent="0.25">
      <c r="A788" s="1">
        <v>787</v>
      </c>
      <c r="B788" s="4">
        <v>823</v>
      </c>
      <c r="C788" s="1">
        <v>0</v>
      </c>
    </row>
    <row r="789" spans="1:3" x14ac:dyDescent="0.25">
      <c r="A789" s="1">
        <v>788</v>
      </c>
      <c r="B789" s="4">
        <v>559</v>
      </c>
      <c r="C789" s="1">
        <v>0</v>
      </c>
    </row>
    <row r="790" spans="1:3" x14ac:dyDescent="0.25">
      <c r="A790" s="1">
        <v>789</v>
      </c>
      <c r="B790" s="4">
        <v>1159</v>
      </c>
      <c r="C790" s="1">
        <v>1</v>
      </c>
    </row>
    <row r="791" spans="1:3" x14ac:dyDescent="0.25">
      <c r="A791" s="1">
        <v>790</v>
      </c>
      <c r="B791" s="4">
        <v>813</v>
      </c>
      <c r="C791" s="1">
        <v>0</v>
      </c>
    </row>
    <row r="792" spans="1:3" x14ac:dyDescent="0.25">
      <c r="A792" s="1">
        <v>791</v>
      </c>
      <c r="B792" s="4">
        <v>338</v>
      </c>
      <c r="C792" s="1">
        <v>0</v>
      </c>
    </row>
    <row r="793" spans="1:3" x14ac:dyDescent="0.25">
      <c r="A793" s="1">
        <v>792</v>
      </c>
      <c r="B793" s="4">
        <v>1027</v>
      </c>
      <c r="C793" s="1">
        <v>1</v>
      </c>
    </row>
    <row r="794" spans="1:3" x14ac:dyDescent="0.25">
      <c r="A794" s="1">
        <v>793</v>
      </c>
      <c r="B794" s="4">
        <v>1338</v>
      </c>
      <c r="C794" s="1">
        <v>1</v>
      </c>
    </row>
    <row r="795" spans="1:3" x14ac:dyDescent="0.25">
      <c r="A795" s="1">
        <v>794</v>
      </c>
      <c r="B795" s="4">
        <v>459</v>
      </c>
      <c r="C795" s="1">
        <v>0</v>
      </c>
    </row>
    <row r="796" spans="1:3" x14ac:dyDescent="0.25">
      <c r="A796" s="1">
        <v>795</v>
      </c>
      <c r="B796" s="4">
        <v>806</v>
      </c>
      <c r="C796" s="1">
        <v>0</v>
      </c>
    </row>
    <row r="797" spans="1:3" x14ac:dyDescent="0.25">
      <c r="A797" s="1">
        <v>796</v>
      </c>
      <c r="B797" s="4">
        <v>1287</v>
      </c>
      <c r="C797" s="1">
        <v>1</v>
      </c>
    </row>
    <row r="798" spans="1:3" x14ac:dyDescent="0.25">
      <c r="A798" s="1">
        <v>797</v>
      </c>
      <c r="B798" s="4">
        <v>244</v>
      </c>
      <c r="C798" s="1">
        <v>0</v>
      </c>
    </row>
    <row r="799" spans="1:3" x14ac:dyDescent="0.25">
      <c r="A799" s="1">
        <v>798</v>
      </c>
      <c r="B799" s="4">
        <v>525</v>
      </c>
      <c r="C799" s="1">
        <v>0</v>
      </c>
    </row>
    <row r="800" spans="1:3" x14ac:dyDescent="0.25">
      <c r="A800" s="1">
        <v>799</v>
      </c>
      <c r="B800" s="4">
        <v>872</v>
      </c>
      <c r="C800" s="1">
        <v>1</v>
      </c>
    </row>
    <row r="801" spans="1:3" x14ac:dyDescent="0.25">
      <c r="A801" s="1">
        <v>800</v>
      </c>
      <c r="B801" s="4">
        <v>1135</v>
      </c>
      <c r="C801" s="1">
        <v>1</v>
      </c>
    </row>
    <row r="802" spans="1:3" x14ac:dyDescent="0.25">
      <c r="A802" s="1">
        <v>801</v>
      </c>
      <c r="B802" s="4">
        <v>450</v>
      </c>
      <c r="C802" s="1">
        <v>0</v>
      </c>
    </row>
    <row r="803" spans="1:3" x14ac:dyDescent="0.25">
      <c r="A803" s="1">
        <v>802</v>
      </c>
      <c r="B803" s="4">
        <v>539</v>
      </c>
      <c r="C803" s="1">
        <v>0</v>
      </c>
    </row>
    <row r="804" spans="1:3" x14ac:dyDescent="0.25">
      <c r="A804" s="1">
        <v>803</v>
      </c>
      <c r="B804" s="4">
        <v>198</v>
      </c>
      <c r="C804" s="1">
        <v>0</v>
      </c>
    </row>
    <row r="805" spans="1:3" x14ac:dyDescent="0.25">
      <c r="A805" s="1">
        <v>804</v>
      </c>
      <c r="B805" s="4">
        <v>550</v>
      </c>
      <c r="C805" s="1">
        <v>0</v>
      </c>
    </row>
    <row r="806" spans="1:3" x14ac:dyDescent="0.25">
      <c r="A806" s="1">
        <v>805</v>
      </c>
      <c r="B806" s="4">
        <v>532</v>
      </c>
      <c r="C806" s="1">
        <v>0</v>
      </c>
    </row>
    <row r="807" spans="1:3" x14ac:dyDescent="0.25">
      <c r="A807" s="1">
        <v>806</v>
      </c>
      <c r="B807" s="4">
        <v>1115</v>
      </c>
      <c r="C807" s="1">
        <v>1</v>
      </c>
    </row>
    <row r="808" spans="1:3" x14ac:dyDescent="0.25">
      <c r="A808" s="1">
        <v>807</v>
      </c>
      <c r="B808" s="4">
        <v>572</v>
      </c>
      <c r="C808" s="1">
        <v>0</v>
      </c>
    </row>
    <row r="809" spans="1:3" x14ac:dyDescent="0.25">
      <c r="A809" s="1">
        <v>808</v>
      </c>
      <c r="B809" s="4">
        <v>1454</v>
      </c>
      <c r="C809" s="1">
        <v>1</v>
      </c>
    </row>
    <row r="810" spans="1:3" x14ac:dyDescent="0.25">
      <c r="A810" s="1">
        <v>809</v>
      </c>
      <c r="B810" s="4">
        <v>480</v>
      </c>
      <c r="C810" s="1">
        <v>0</v>
      </c>
    </row>
    <row r="811" spans="1:3" x14ac:dyDescent="0.25">
      <c r="A811" s="1">
        <v>810</v>
      </c>
      <c r="B811" s="4">
        <v>1231</v>
      </c>
      <c r="C811" s="1">
        <v>1</v>
      </c>
    </row>
    <row r="812" spans="1:3" x14ac:dyDescent="0.25">
      <c r="A812" s="1">
        <v>811</v>
      </c>
      <c r="B812" s="4">
        <v>525</v>
      </c>
      <c r="C812" s="1">
        <v>0</v>
      </c>
    </row>
    <row r="813" spans="1:3" x14ac:dyDescent="0.25">
      <c r="A813" s="1">
        <v>812</v>
      </c>
      <c r="B813" s="4">
        <v>641</v>
      </c>
      <c r="C813" s="1">
        <v>1</v>
      </c>
    </row>
    <row r="814" spans="1:3" x14ac:dyDescent="0.25">
      <c r="A814" s="1">
        <v>813</v>
      </c>
      <c r="B814" s="4">
        <v>348</v>
      </c>
      <c r="C814" s="1">
        <v>0</v>
      </c>
    </row>
    <row r="815" spans="1:3" x14ac:dyDescent="0.25">
      <c r="A815" s="1">
        <v>814</v>
      </c>
      <c r="B815" s="4">
        <v>313</v>
      </c>
      <c r="C815" s="1">
        <v>0</v>
      </c>
    </row>
    <row r="816" spans="1:3" x14ac:dyDescent="0.25">
      <c r="A816" s="1">
        <v>815</v>
      </c>
      <c r="B816" s="4">
        <v>332</v>
      </c>
      <c r="C816" s="1">
        <v>0</v>
      </c>
    </row>
    <row r="817" spans="1:3" x14ac:dyDescent="0.25">
      <c r="A817" s="1">
        <v>816</v>
      </c>
      <c r="B817" s="4">
        <v>716</v>
      </c>
      <c r="C817" s="1">
        <v>0</v>
      </c>
    </row>
    <row r="818" spans="1:3" x14ac:dyDescent="0.25">
      <c r="A818" s="1">
        <v>817</v>
      </c>
      <c r="B818" s="4">
        <v>480</v>
      </c>
      <c r="C818" s="1">
        <v>0</v>
      </c>
    </row>
    <row r="819" spans="1:3" x14ac:dyDescent="0.25">
      <c r="A819" s="1">
        <v>818</v>
      </c>
      <c r="B819" s="4">
        <v>281</v>
      </c>
      <c r="C819" s="1">
        <v>0</v>
      </c>
    </row>
    <row r="820" spans="1:3" x14ac:dyDescent="0.25">
      <c r="A820" s="1">
        <v>819</v>
      </c>
      <c r="B820" s="4">
        <v>427</v>
      </c>
      <c r="C820" s="1">
        <v>0</v>
      </c>
    </row>
    <row r="821" spans="1:3" x14ac:dyDescent="0.25">
      <c r="A821" s="1">
        <v>820</v>
      </c>
      <c r="B821" s="4">
        <v>384</v>
      </c>
      <c r="C821" s="1">
        <v>0</v>
      </c>
    </row>
    <row r="822" spans="1:3" x14ac:dyDescent="0.25">
      <c r="A822" s="1">
        <v>821</v>
      </c>
      <c r="B822" s="4">
        <v>1524</v>
      </c>
      <c r="C822" s="1">
        <v>1</v>
      </c>
    </row>
    <row r="823" spans="1:3" x14ac:dyDescent="0.25">
      <c r="A823" s="1">
        <v>822</v>
      </c>
      <c r="B823" s="4">
        <v>1017</v>
      </c>
      <c r="C823" s="1">
        <v>1</v>
      </c>
    </row>
    <row r="824" spans="1:3" x14ac:dyDescent="0.25">
      <c r="A824" s="1">
        <v>823</v>
      </c>
      <c r="B824" s="4">
        <v>651</v>
      </c>
      <c r="C824" s="1">
        <v>1</v>
      </c>
    </row>
    <row r="825" spans="1:3" x14ac:dyDescent="0.25">
      <c r="A825" s="1">
        <v>824</v>
      </c>
      <c r="B825" s="4">
        <v>737</v>
      </c>
      <c r="C825" s="1">
        <v>1</v>
      </c>
    </row>
    <row r="826" spans="1:3" x14ac:dyDescent="0.25">
      <c r="A826" s="1">
        <v>825</v>
      </c>
      <c r="B826" s="4">
        <v>1382</v>
      </c>
      <c r="C826" s="1">
        <v>1</v>
      </c>
    </row>
    <row r="827" spans="1:3" x14ac:dyDescent="0.25">
      <c r="A827" s="1">
        <v>826</v>
      </c>
      <c r="B827" s="4">
        <v>955</v>
      </c>
      <c r="C827" s="1">
        <v>1</v>
      </c>
    </row>
    <row r="828" spans="1:3" x14ac:dyDescent="0.25">
      <c r="A828" s="1">
        <v>827</v>
      </c>
      <c r="B828" s="4">
        <v>442</v>
      </c>
      <c r="C828" s="1">
        <v>0</v>
      </c>
    </row>
    <row r="829" spans="1:3" x14ac:dyDescent="0.25">
      <c r="A829" s="1">
        <v>828</v>
      </c>
      <c r="B829" s="4">
        <v>963</v>
      </c>
      <c r="C829" s="1">
        <v>1</v>
      </c>
    </row>
    <row r="830" spans="1:3" x14ac:dyDescent="0.25">
      <c r="A830" s="1">
        <v>829</v>
      </c>
      <c r="B830" s="4">
        <v>476</v>
      </c>
      <c r="C830" s="1">
        <v>0</v>
      </c>
    </row>
    <row r="831" spans="1:3" x14ac:dyDescent="0.25">
      <c r="A831" s="1">
        <v>830</v>
      </c>
      <c r="B831" s="4">
        <v>830</v>
      </c>
      <c r="C831" s="1">
        <v>1</v>
      </c>
    </row>
    <row r="832" spans="1:3" x14ac:dyDescent="0.25">
      <c r="A832" s="1">
        <v>831</v>
      </c>
      <c r="B832" s="4">
        <v>861</v>
      </c>
      <c r="C832" s="1">
        <v>0</v>
      </c>
    </row>
    <row r="833" spans="1:3" x14ac:dyDescent="0.25">
      <c r="A833" s="1">
        <v>832</v>
      </c>
      <c r="B833" s="4">
        <v>1048</v>
      </c>
      <c r="C833" s="1">
        <v>1</v>
      </c>
    </row>
    <row r="834" spans="1:3" x14ac:dyDescent="0.25">
      <c r="A834" s="1">
        <v>833</v>
      </c>
      <c r="B834" s="4">
        <v>310</v>
      </c>
      <c r="C834" s="1">
        <v>0</v>
      </c>
    </row>
    <row r="835" spans="1:3" x14ac:dyDescent="0.25">
      <c r="A835" s="1">
        <v>834</v>
      </c>
      <c r="B835" s="4">
        <v>529</v>
      </c>
      <c r="C835" s="1">
        <v>0</v>
      </c>
    </row>
    <row r="836" spans="1:3" x14ac:dyDescent="0.25">
      <c r="A836" s="1">
        <v>835</v>
      </c>
      <c r="B836" s="4">
        <v>427</v>
      </c>
      <c r="C836" s="1">
        <v>0</v>
      </c>
    </row>
    <row r="837" spans="1:3" x14ac:dyDescent="0.25">
      <c r="A837" s="1">
        <v>836</v>
      </c>
      <c r="B837" s="4">
        <v>668</v>
      </c>
      <c r="C837" s="1">
        <v>0</v>
      </c>
    </row>
    <row r="838" spans="1:3" x14ac:dyDescent="0.25">
      <c r="A838" s="1">
        <v>837</v>
      </c>
      <c r="B838" s="4">
        <v>675</v>
      </c>
      <c r="C838" s="1">
        <v>1</v>
      </c>
    </row>
    <row r="839" spans="1:3" x14ac:dyDescent="0.25">
      <c r="A839" s="1">
        <v>838</v>
      </c>
      <c r="B839" s="4">
        <v>220</v>
      </c>
      <c r="C839" s="1">
        <v>0</v>
      </c>
    </row>
    <row r="840" spans="1:3" x14ac:dyDescent="0.25">
      <c r="A840" s="1">
        <v>839</v>
      </c>
      <c r="B840" s="4">
        <v>788</v>
      </c>
      <c r="C840" s="1">
        <v>0</v>
      </c>
    </row>
    <row r="841" spans="1:3" x14ac:dyDescent="0.25">
      <c r="A841" s="1">
        <v>840</v>
      </c>
      <c r="B841" s="4">
        <v>344</v>
      </c>
      <c r="C841" s="1">
        <v>0</v>
      </c>
    </row>
    <row r="842" spans="1:3" x14ac:dyDescent="0.25">
      <c r="A842" s="1">
        <v>841</v>
      </c>
      <c r="B842" s="4">
        <v>641</v>
      </c>
      <c r="C842" s="1">
        <v>0</v>
      </c>
    </row>
    <row r="843" spans="1:3" x14ac:dyDescent="0.25">
      <c r="A843" s="1">
        <v>842</v>
      </c>
      <c r="B843" s="4">
        <v>463</v>
      </c>
      <c r="C843" s="1">
        <v>0</v>
      </c>
    </row>
    <row r="844" spans="1:3" x14ac:dyDescent="0.25">
      <c r="A844" s="1">
        <v>843</v>
      </c>
      <c r="B844" s="4">
        <v>884</v>
      </c>
      <c r="C844" s="1">
        <v>1</v>
      </c>
    </row>
    <row r="845" spans="1:3" x14ac:dyDescent="0.25">
      <c r="A845" s="1">
        <v>844</v>
      </c>
      <c r="B845" s="4">
        <v>1030</v>
      </c>
      <c r="C845" s="1">
        <v>1</v>
      </c>
    </row>
    <row r="846" spans="1:3" x14ac:dyDescent="0.25">
      <c r="A846" s="1">
        <v>845</v>
      </c>
      <c r="B846" s="4">
        <v>485</v>
      </c>
      <c r="C846" s="1">
        <v>0</v>
      </c>
    </row>
    <row r="847" spans="1:3" x14ac:dyDescent="0.25">
      <c r="A847" s="1">
        <v>846</v>
      </c>
      <c r="B847" s="4">
        <v>531</v>
      </c>
      <c r="C847" s="1">
        <v>0</v>
      </c>
    </row>
    <row r="848" spans="1:3" x14ac:dyDescent="0.25">
      <c r="A848" s="1">
        <v>847</v>
      </c>
      <c r="B848" s="4">
        <v>617</v>
      </c>
      <c r="C848" s="1">
        <v>1</v>
      </c>
    </row>
    <row r="849" spans="1:3" x14ac:dyDescent="0.25">
      <c r="A849" s="1">
        <v>848</v>
      </c>
      <c r="B849" s="4">
        <v>772</v>
      </c>
      <c r="C849" s="1">
        <v>0</v>
      </c>
    </row>
    <row r="850" spans="1:3" x14ac:dyDescent="0.25">
      <c r="A850" s="1">
        <v>849</v>
      </c>
      <c r="B850" s="4">
        <v>402</v>
      </c>
      <c r="C850" s="1">
        <v>0</v>
      </c>
    </row>
    <row r="851" spans="1:3" x14ac:dyDescent="0.25">
      <c r="A851" s="1">
        <v>850</v>
      </c>
      <c r="B851" s="4">
        <v>482</v>
      </c>
      <c r="C851" s="1">
        <v>0</v>
      </c>
    </row>
    <row r="852" spans="1:3" x14ac:dyDescent="0.25">
      <c r="A852" s="1">
        <v>851</v>
      </c>
      <c r="B852" s="4">
        <v>538</v>
      </c>
      <c r="C852" s="1">
        <v>0</v>
      </c>
    </row>
    <row r="853" spans="1:3" x14ac:dyDescent="0.25">
      <c r="A853" s="1">
        <v>852</v>
      </c>
      <c r="B853" s="4">
        <v>1245</v>
      </c>
      <c r="C853" s="1">
        <v>1</v>
      </c>
    </row>
    <row r="854" spans="1:3" x14ac:dyDescent="0.25">
      <c r="A854" s="1">
        <v>853</v>
      </c>
      <c r="B854" s="4">
        <v>376</v>
      </c>
      <c r="C854" s="1">
        <v>0</v>
      </c>
    </row>
    <row r="855" spans="1:3" x14ac:dyDescent="0.25">
      <c r="A855" s="1">
        <v>854</v>
      </c>
      <c r="B855" s="4">
        <v>658</v>
      </c>
      <c r="C855" s="1">
        <v>1</v>
      </c>
    </row>
    <row r="856" spans="1:3" x14ac:dyDescent="0.25">
      <c r="A856" s="1">
        <v>855</v>
      </c>
      <c r="B856" s="4">
        <v>375</v>
      </c>
      <c r="C856" s="1">
        <v>0</v>
      </c>
    </row>
    <row r="857" spans="1:3" x14ac:dyDescent="0.25">
      <c r="A857" s="1">
        <v>856</v>
      </c>
      <c r="B857" s="4">
        <v>339</v>
      </c>
      <c r="C857" s="1">
        <v>0</v>
      </c>
    </row>
    <row r="858" spans="1:3" x14ac:dyDescent="0.25">
      <c r="A858" s="1">
        <v>857</v>
      </c>
      <c r="B858" s="4">
        <v>1339</v>
      </c>
      <c r="C858" s="1">
        <v>1</v>
      </c>
    </row>
    <row r="859" spans="1:3" x14ac:dyDescent="0.25">
      <c r="A859" s="1">
        <v>858</v>
      </c>
      <c r="B859" s="4">
        <v>743</v>
      </c>
      <c r="C859" s="1">
        <v>0</v>
      </c>
    </row>
    <row r="860" spans="1:3" x14ac:dyDescent="0.25">
      <c r="A860" s="1">
        <v>859</v>
      </c>
      <c r="B860" s="4">
        <v>333</v>
      </c>
      <c r="C860" s="1">
        <v>0</v>
      </c>
    </row>
    <row r="861" spans="1:3" x14ac:dyDescent="0.25">
      <c r="A861" s="1">
        <v>860</v>
      </c>
      <c r="B861" s="4">
        <v>276</v>
      </c>
      <c r="C861" s="1">
        <v>0</v>
      </c>
    </row>
    <row r="862" spans="1:3" x14ac:dyDescent="0.25">
      <c r="A862" s="1">
        <v>861</v>
      </c>
      <c r="B862" s="4">
        <v>123</v>
      </c>
      <c r="C862" s="1">
        <v>0</v>
      </c>
    </row>
    <row r="863" spans="1:3" x14ac:dyDescent="0.25">
      <c r="A863" s="1">
        <v>862</v>
      </c>
      <c r="B863" s="4">
        <v>639</v>
      </c>
      <c r="C863" s="1">
        <v>0</v>
      </c>
    </row>
    <row r="864" spans="1:3" x14ac:dyDescent="0.25">
      <c r="A864" s="1">
        <v>863</v>
      </c>
      <c r="B864" s="4">
        <v>1468</v>
      </c>
      <c r="C864" s="1">
        <v>1</v>
      </c>
    </row>
    <row r="865" spans="1:3" x14ac:dyDescent="0.25">
      <c r="A865" s="1">
        <v>864</v>
      </c>
      <c r="B865" s="4">
        <v>365</v>
      </c>
      <c r="C865" s="1">
        <v>0</v>
      </c>
    </row>
    <row r="866" spans="1:3" x14ac:dyDescent="0.25">
      <c r="A866" s="1">
        <v>865</v>
      </c>
      <c r="B866" s="4">
        <v>661</v>
      </c>
      <c r="C866" s="1">
        <v>0</v>
      </c>
    </row>
    <row r="867" spans="1:3" x14ac:dyDescent="0.25">
      <c r="A867" s="1">
        <v>866</v>
      </c>
      <c r="B867" s="4">
        <v>212</v>
      </c>
      <c r="C867" s="1">
        <v>0</v>
      </c>
    </row>
    <row r="868" spans="1:3" x14ac:dyDescent="0.25">
      <c r="A868" s="1">
        <v>867</v>
      </c>
      <c r="B868" s="4">
        <v>834</v>
      </c>
      <c r="C868" s="1">
        <v>1</v>
      </c>
    </row>
    <row r="869" spans="1:3" x14ac:dyDescent="0.25">
      <c r="A869" s="1">
        <v>868</v>
      </c>
      <c r="B869" s="4">
        <v>1520</v>
      </c>
      <c r="C869" s="1">
        <v>1</v>
      </c>
    </row>
    <row r="870" spans="1:3" x14ac:dyDescent="0.25">
      <c r="A870" s="1">
        <v>869</v>
      </c>
      <c r="B870" s="4">
        <v>378</v>
      </c>
      <c r="C870" s="1">
        <v>0</v>
      </c>
    </row>
    <row r="871" spans="1:3" x14ac:dyDescent="0.25">
      <c r="A871" s="1">
        <v>870</v>
      </c>
      <c r="B871" s="4">
        <v>639</v>
      </c>
      <c r="C871" s="1">
        <v>0</v>
      </c>
    </row>
    <row r="872" spans="1:3" x14ac:dyDescent="0.25">
      <c r="A872" s="1">
        <v>871</v>
      </c>
      <c r="B872" s="4">
        <v>297</v>
      </c>
      <c r="C872" s="1">
        <v>0</v>
      </c>
    </row>
    <row r="873" spans="1:3" x14ac:dyDescent="0.25">
      <c r="A873" s="1">
        <v>872</v>
      </c>
      <c r="B873" s="4">
        <v>369</v>
      </c>
      <c r="C873" s="1">
        <v>0</v>
      </c>
    </row>
    <row r="874" spans="1:3" x14ac:dyDescent="0.25">
      <c r="A874" s="1">
        <v>873</v>
      </c>
      <c r="B874" s="4">
        <v>688</v>
      </c>
      <c r="C874" s="1">
        <v>0</v>
      </c>
    </row>
    <row r="875" spans="1:3" x14ac:dyDescent="0.25">
      <c r="A875" s="1">
        <v>874</v>
      </c>
      <c r="B875" s="4">
        <v>874</v>
      </c>
      <c r="C875" s="1">
        <v>1</v>
      </c>
    </row>
    <row r="876" spans="1:3" x14ac:dyDescent="0.25">
      <c r="A876" s="1">
        <v>875</v>
      </c>
      <c r="B876" s="4">
        <v>1229</v>
      </c>
      <c r="C876" s="1">
        <v>1</v>
      </c>
    </row>
    <row r="877" spans="1:3" x14ac:dyDescent="0.25">
      <c r="A877" s="1">
        <v>876</v>
      </c>
      <c r="B877" s="4">
        <v>799</v>
      </c>
      <c r="C877" s="1">
        <v>0</v>
      </c>
    </row>
    <row r="878" spans="1:3" x14ac:dyDescent="0.25">
      <c r="A878" s="1">
        <v>877</v>
      </c>
      <c r="B878" s="4">
        <v>1070</v>
      </c>
      <c r="C878" s="1">
        <v>1</v>
      </c>
    </row>
    <row r="879" spans="1:3" x14ac:dyDescent="0.25">
      <c r="A879" s="1">
        <v>878</v>
      </c>
      <c r="B879" s="4">
        <v>1264</v>
      </c>
      <c r="C879" s="1">
        <v>1</v>
      </c>
    </row>
    <row r="880" spans="1:3" x14ac:dyDescent="0.25">
      <c r="A880" s="1">
        <v>879</v>
      </c>
      <c r="B880" s="4">
        <v>655</v>
      </c>
      <c r="C880" s="1">
        <v>0</v>
      </c>
    </row>
    <row r="881" spans="1:3" x14ac:dyDescent="0.25">
      <c r="A881" s="1">
        <v>880</v>
      </c>
      <c r="B881" s="4">
        <v>336</v>
      </c>
      <c r="C881" s="1">
        <v>0</v>
      </c>
    </row>
    <row r="882" spans="1:3" x14ac:dyDescent="0.25">
      <c r="A882" s="1">
        <v>881</v>
      </c>
      <c r="B882" s="4">
        <v>390</v>
      </c>
      <c r="C882" s="1">
        <v>0</v>
      </c>
    </row>
    <row r="883" spans="1:3" x14ac:dyDescent="0.25">
      <c r="A883" s="1">
        <v>882</v>
      </c>
      <c r="B883" s="4">
        <v>475</v>
      </c>
      <c r="C883" s="1">
        <v>0</v>
      </c>
    </row>
    <row r="884" spans="1:3" x14ac:dyDescent="0.25">
      <c r="A884" s="1">
        <v>883</v>
      </c>
      <c r="B884" s="4">
        <v>222</v>
      </c>
      <c r="C884" s="1">
        <v>0</v>
      </c>
    </row>
    <row r="885" spans="1:3" x14ac:dyDescent="0.25">
      <c r="A885" s="1">
        <v>884</v>
      </c>
      <c r="B885" s="4">
        <v>905</v>
      </c>
      <c r="C885" s="1">
        <v>1</v>
      </c>
    </row>
    <row r="886" spans="1:3" x14ac:dyDescent="0.25">
      <c r="A886" s="1">
        <v>885</v>
      </c>
      <c r="B886" s="4">
        <v>707</v>
      </c>
      <c r="C886" s="1">
        <v>0</v>
      </c>
    </row>
    <row r="887" spans="1:3" x14ac:dyDescent="0.25">
      <c r="A887" s="1">
        <v>886</v>
      </c>
      <c r="B887" s="4">
        <v>509</v>
      </c>
      <c r="C887" s="1">
        <v>0</v>
      </c>
    </row>
    <row r="888" spans="1:3" x14ac:dyDescent="0.25">
      <c r="A888" s="1">
        <v>887</v>
      </c>
      <c r="B888" s="4">
        <v>298</v>
      </c>
      <c r="C888" s="1">
        <v>0</v>
      </c>
    </row>
    <row r="889" spans="1:3" x14ac:dyDescent="0.25">
      <c r="A889" s="1">
        <v>888</v>
      </c>
      <c r="B889" s="4">
        <v>556</v>
      </c>
      <c r="C889" s="1">
        <v>0</v>
      </c>
    </row>
    <row r="890" spans="1:3" x14ac:dyDescent="0.25">
      <c r="A890" s="1">
        <v>889</v>
      </c>
      <c r="B890" s="4">
        <v>587</v>
      </c>
      <c r="C890" s="1">
        <v>0</v>
      </c>
    </row>
    <row r="891" spans="1:3" x14ac:dyDescent="0.25">
      <c r="A891" s="1">
        <v>890</v>
      </c>
      <c r="B891" s="4">
        <v>417</v>
      </c>
      <c r="C891" s="1">
        <v>0</v>
      </c>
    </row>
    <row r="892" spans="1:3" x14ac:dyDescent="0.25">
      <c r="A892" s="1">
        <v>891</v>
      </c>
      <c r="B892" s="4">
        <v>422</v>
      </c>
      <c r="C892" s="1">
        <v>0</v>
      </c>
    </row>
    <row r="893" spans="1:3" x14ac:dyDescent="0.25">
      <c r="A893" s="1">
        <v>892</v>
      </c>
      <c r="B893" s="4">
        <v>441</v>
      </c>
      <c r="C893" s="1">
        <v>0</v>
      </c>
    </row>
    <row r="894" spans="1:3" x14ac:dyDescent="0.25">
      <c r="A894" s="1">
        <v>893</v>
      </c>
      <c r="B894" s="4">
        <v>1045</v>
      </c>
      <c r="C894" s="1">
        <v>1</v>
      </c>
    </row>
    <row r="895" spans="1:3" x14ac:dyDescent="0.25">
      <c r="A895" s="1">
        <v>894</v>
      </c>
      <c r="B895" s="4">
        <v>260</v>
      </c>
      <c r="C895" s="1">
        <v>0</v>
      </c>
    </row>
    <row r="896" spans="1:3" x14ac:dyDescent="0.25">
      <c r="A896" s="1">
        <v>895</v>
      </c>
      <c r="B896" s="4">
        <v>1011</v>
      </c>
      <c r="C896" s="1">
        <v>1</v>
      </c>
    </row>
    <row r="897" spans="1:3" x14ac:dyDescent="0.25">
      <c r="A897" s="1">
        <v>896</v>
      </c>
      <c r="B897" s="4">
        <v>708</v>
      </c>
      <c r="C897" s="1">
        <v>1</v>
      </c>
    </row>
    <row r="898" spans="1:3" x14ac:dyDescent="0.25">
      <c r="A898" s="1">
        <v>897</v>
      </c>
      <c r="B898" s="4">
        <v>814</v>
      </c>
      <c r="C898" s="1">
        <v>0</v>
      </c>
    </row>
    <row r="899" spans="1:3" x14ac:dyDescent="0.25">
      <c r="A899" s="1">
        <v>898</v>
      </c>
      <c r="B899" s="4">
        <v>185</v>
      </c>
      <c r="C899" s="1">
        <v>0</v>
      </c>
    </row>
    <row r="900" spans="1:3" x14ac:dyDescent="0.25">
      <c r="A900" s="1">
        <v>899</v>
      </c>
      <c r="B900" s="4">
        <v>723</v>
      </c>
      <c r="C900" s="1">
        <v>0</v>
      </c>
    </row>
    <row r="901" spans="1:3" x14ac:dyDescent="0.25">
      <c r="A901" s="1">
        <v>900</v>
      </c>
      <c r="B901" s="4">
        <v>534</v>
      </c>
      <c r="C901" s="1">
        <v>0</v>
      </c>
    </row>
    <row r="902" spans="1:3" x14ac:dyDescent="0.25">
      <c r="A902" s="1">
        <v>901</v>
      </c>
      <c r="B902" s="4">
        <v>492</v>
      </c>
      <c r="C902" s="1">
        <v>0</v>
      </c>
    </row>
    <row r="903" spans="1:3" x14ac:dyDescent="0.25">
      <c r="A903" s="1">
        <v>902</v>
      </c>
      <c r="B903" s="4">
        <v>485</v>
      </c>
      <c r="C903" s="1">
        <v>0</v>
      </c>
    </row>
    <row r="904" spans="1:3" x14ac:dyDescent="0.25">
      <c r="A904" s="1">
        <v>903</v>
      </c>
      <c r="B904" s="4">
        <v>222</v>
      </c>
      <c r="C904" s="1">
        <v>0</v>
      </c>
    </row>
    <row r="905" spans="1:3" x14ac:dyDescent="0.25">
      <c r="A905" s="1">
        <v>904</v>
      </c>
      <c r="B905" s="4">
        <v>776</v>
      </c>
      <c r="C905" s="1">
        <v>0</v>
      </c>
    </row>
    <row r="906" spans="1:3" x14ac:dyDescent="0.25">
      <c r="A906" s="1">
        <v>905</v>
      </c>
      <c r="B906" s="4">
        <v>368</v>
      </c>
      <c r="C906" s="1">
        <v>0</v>
      </c>
    </row>
    <row r="907" spans="1:3" x14ac:dyDescent="0.25">
      <c r="A907" s="1">
        <v>906</v>
      </c>
      <c r="B907" s="4">
        <v>1165</v>
      </c>
      <c r="C907" s="1">
        <v>1</v>
      </c>
    </row>
    <row r="908" spans="1:3" x14ac:dyDescent="0.25">
      <c r="A908" s="1">
        <v>907</v>
      </c>
      <c r="B908" s="4">
        <v>378</v>
      </c>
      <c r="C908" s="1">
        <v>0</v>
      </c>
    </row>
    <row r="909" spans="1:3" x14ac:dyDescent="0.25">
      <c r="A909" s="1">
        <v>908</v>
      </c>
      <c r="B909" s="4">
        <v>512</v>
      </c>
      <c r="C909" s="1">
        <v>0</v>
      </c>
    </row>
    <row r="910" spans="1:3" x14ac:dyDescent="0.25">
      <c r="A910" s="1">
        <v>909</v>
      </c>
      <c r="B910" s="4">
        <v>898</v>
      </c>
      <c r="C910" s="1">
        <v>1</v>
      </c>
    </row>
    <row r="911" spans="1:3" x14ac:dyDescent="0.25">
      <c r="A911" s="1">
        <v>910</v>
      </c>
      <c r="B911" s="4">
        <v>667</v>
      </c>
      <c r="C911" s="1">
        <v>0</v>
      </c>
    </row>
    <row r="912" spans="1:3" x14ac:dyDescent="0.25">
      <c r="A912" s="1">
        <v>911</v>
      </c>
      <c r="B912" s="4">
        <v>1574</v>
      </c>
      <c r="C912" s="1">
        <v>1</v>
      </c>
    </row>
    <row r="913" spans="1:3" x14ac:dyDescent="0.25">
      <c r="A913" s="1">
        <v>912</v>
      </c>
      <c r="B913" s="4">
        <v>346</v>
      </c>
      <c r="C913" s="1">
        <v>0</v>
      </c>
    </row>
    <row r="914" spans="1:3" x14ac:dyDescent="0.25">
      <c r="A914" s="1">
        <v>913</v>
      </c>
      <c r="B914" s="4">
        <v>407</v>
      </c>
      <c r="C914" s="1">
        <v>0</v>
      </c>
    </row>
    <row r="915" spans="1:3" x14ac:dyDescent="0.25">
      <c r="A915" s="1">
        <v>914</v>
      </c>
      <c r="B915" s="4">
        <v>680</v>
      </c>
      <c r="C915" s="1">
        <v>1</v>
      </c>
    </row>
    <row r="916" spans="1:3" x14ac:dyDescent="0.25">
      <c r="A916" s="1">
        <v>915</v>
      </c>
      <c r="B916" s="4">
        <v>464</v>
      </c>
      <c r="C916" s="1">
        <v>0</v>
      </c>
    </row>
    <row r="917" spans="1:3" x14ac:dyDescent="0.25">
      <c r="A917" s="1">
        <v>916</v>
      </c>
      <c r="B917" s="4">
        <v>655</v>
      </c>
      <c r="C917" s="1">
        <v>0</v>
      </c>
    </row>
    <row r="918" spans="1:3" x14ac:dyDescent="0.25">
      <c r="A918" s="1">
        <v>917</v>
      </c>
      <c r="B918" s="4">
        <v>806</v>
      </c>
      <c r="C918" s="1">
        <v>1</v>
      </c>
    </row>
    <row r="919" spans="1:3" x14ac:dyDescent="0.25">
      <c r="A919" s="1">
        <v>918</v>
      </c>
      <c r="B919" s="4">
        <v>1355</v>
      </c>
      <c r="C919" s="1">
        <v>1</v>
      </c>
    </row>
    <row r="920" spans="1:3" x14ac:dyDescent="0.25">
      <c r="A920" s="1">
        <v>919</v>
      </c>
      <c r="B920" s="4">
        <v>298</v>
      </c>
      <c r="C920" s="1">
        <v>0</v>
      </c>
    </row>
    <row r="921" spans="1:3" x14ac:dyDescent="0.25">
      <c r="A921" s="1">
        <v>920</v>
      </c>
      <c r="B921" s="4">
        <v>1029</v>
      </c>
      <c r="C921" s="1">
        <v>1</v>
      </c>
    </row>
    <row r="922" spans="1:3" x14ac:dyDescent="0.25">
      <c r="A922" s="1">
        <v>921</v>
      </c>
      <c r="B922" s="4">
        <v>981</v>
      </c>
      <c r="C922" s="1">
        <v>1</v>
      </c>
    </row>
    <row r="923" spans="1:3" x14ac:dyDescent="0.25">
      <c r="A923" s="1">
        <v>922</v>
      </c>
      <c r="B923" s="4">
        <v>1556</v>
      </c>
      <c r="C923" s="1">
        <v>1</v>
      </c>
    </row>
    <row r="924" spans="1:3" x14ac:dyDescent="0.25">
      <c r="A924" s="1">
        <v>923</v>
      </c>
      <c r="B924" s="4">
        <v>990</v>
      </c>
      <c r="C924" s="1">
        <v>0</v>
      </c>
    </row>
    <row r="925" spans="1:3" x14ac:dyDescent="0.25">
      <c r="A925" s="1">
        <v>924</v>
      </c>
      <c r="B925" s="4">
        <v>141</v>
      </c>
      <c r="C925" s="1">
        <v>0</v>
      </c>
    </row>
    <row r="926" spans="1:3" x14ac:dyDescent="0.25">
      <c r="A926" s="1">
        <v>925</v>
      </c>
      <c r="B926" s="4">
        <v>329</v>
      </c>
      <c r="C926" s="1">
        <v>0</v>
      </c>
    </row>
    <row r="927" spans="1:3" x14ac:dyDescent="0.25">
      <c r="A927" s="1">
        <v>926</v>
      </c>
      <c r="B927" s="4">
        <v>834</v>
      </c>
      <c r="C927" s="1">
        <v>0</v>
      </c>
    </row>
    <row r="928" spans="1:3" x14ac:dyDescent="0.25">
      <c r="A928" s="1">
        <v>927</v>
      </c>
      <c r="B928" s="4">
        <v>1365</v>
      </c>
      <c r="C928" s="1">
        <v>1</v>
      </c>
    </row>
    <row r="929" spans="1:3" x14ac:dyDescent="0.25">
      <c r="A929" s="1">
        <v>928</v>
      </c>
      <c r="B929" s="4">
        <v>365</v>
      </c>
      <c r="C929" s="1">
        <v>0</v>
      </c>
    </row>
    <row r="930" spans="1:3" x14ac:dyDescent="0.25">
      <c r="A930" s="1">
        <v>929</v>
      </c>
      <c r="B930" s="4">
        <v>951</v>
      </c>
      <c r="C930" s="1">
        <v>1</v>
      </c>
    </row>
    <row r="931" spans="1:3" x14ac:dyDescent="0.25">
      <c r="A931" s="1">
        <v>930</v>
      </c>
      <c r="B931" s="4">
        <v>1078</v>
      </c>
      <c r="C931" s="1">
        <v>1</v>
      </c>
    </row>
    <row r="932" spans="1:3" x14ac:dyDescent="0.25">
      <c r="A932" s="1">
        <v>931</v>
      </c>
      <c r="B932" s="4">
        <v>863</v>
      </c>
      <c r="C932" s="1">
        <v>0</v>
      </c>
    </row>
    <row r="933" spans="1:3" x14ac:dyDescent="0.25">
      <c r="A933" s="1">
        <v>932</v>
      </c>
      <c r="B933" s="4">
        <v>1754</v>
      </c>
      <c r="C933" s="1">
        <v>1</v>
      </c>
    </row>
    <row r="934" spans="1:3" x14ac:dyDescent="0.25">
      <c r="A934" s="1">
        <v>933</v>
      </c>
      <c r="B934" s="4">
        <v>494</v>
      </c>
      <c r="C934" s="1">
        <v>0</v>
      </c>
    </row>
    <row r="935" spans="1:3" x14ac:dyDescent="0.25">
      <c r="A935" s="1">
        <v>934</v>
      </c>
      <c r="B935" s="4">
        <v>275</v>
      </c>
      <c r="C935" s="1">
        <v>0</v>
      </c>
    </row>
    <row r="936" spans="1:3" x14ac:dyDescent="0.25">
      <c r="A936" s="1">
        <v>935</v>
      </c>
      <c r="B936" s="4">
        <v>432</v>
      </c>
      <c r="C936" s="1">
        <v>0</v>
      </c>
    </row>
    <row r="937" spans="1:3" x14ac:dyDescent="0.25">
      <c r="A937" s="1">
        <v>936</v>
      </c>
      <c r="B937" s="4">
        <v>2178</v>
      </c>
      <c r="C937" s="1">
        <v>1</v>
      </c>
    </row>
    <row r="938" spans="1:3" x14ac:dyDescent="0.25">
      <c r="A938" s="1">
        <v>937</v>
      </c>
      <c r="B938" s="4">
        <v>280</v>
      </c>
      <c r="C938" s="1">
        <v>0</v>
      </c>
    </row>
    <row r="939" spans="1:3" x14ac:dyDescent="0.25">
      <c r="A939" s="1">
        <v>938</v>
      </c>
      <c r="B939" s="4">
        <v>1159</v>
      </c>
      <c r="C939" s="1">
        <v>1</v>
      </c>
    </row>
    <row r="940" spans="1:3" x14ac:dyDescent="0.25">
      <c r="A940" s="1">
        <v>939</v>
      </c>
      <c r="B940" s="4">
        <v>500</v>
      </c>
      <c r="C940" s="1">
        <v>0</v>
      </c>
    </row>
    <row r="941" spans="1:3" x14ac:dyDescent="0.25">
      <c r="A941" s="1">
        <v>940</v>
      </c>
      <c r="B941" s="4">
        <v>596</v>
      </c>
      <c r="C941" s="1">
        <v>0</v>
      </c>
    </row>
    <row r="942" spans="1:3" x14ac:dyDescent="0.25">
      <c r="A942" s="1">
        <v>941</v>
      </c>
      <c r="B942" s="4">
        <v>274</v>
      </c>
      <c r="C942" s="1">
        <v>0</v>
      </c>
    </row>
    <row r="943" spans="1:3" x14ac:dyDescent="0.25">
      <c r="A943" s="1">
        <v>942</v>
      </c>
      <c r="B943" s="4">
        <v>693</v>
      </c>
      <c r="C943" s="1">
        <v>0</v>
      </c>
    </row>
    <row r="944" spans="1:3" x14ac:dyDescent="0.25">
      <c r="A944" s="1">
        <v>943</v>
      </c>
      <c r="B944" s="4">
        <v>276</v>
      </c>
      <c r="C944" s="1">
        <v>0</v>
      </c>
    </row>
    <row r="945" spans="1:3" x14ac:dyDescent="0.25">
      <c r="A945" s="1">
        <v>944</v>
      </c>
      <c r="B945" s="4">
        <v>563</v>
      </c>
      <c r="C945" s="1">
        <v>0</v>
      </c>
    </row>
    <row r="946" spans="1:3" x14ac:dyDescent="0.25">
      <c r="A946" s="1">
        <v>945</v>
      </c>
      <c r="B946" s="4">
        <v>489</v>
      </c>
      <c r="C946" s="1">
        <v>0</v>
      </c>
    </row>
    <row r="947" spans="1:3" x14ac:dyDescent="0.25">
      <c r="A947" s="1">
        <v>946</v>
      </c>
      <c r="B947" s="4">
        <v>541</v>
      </c>
      <c r="C947" s="1">
        <v>0</v>
      </c>
    </row>
    <row r="948" spans="1:3" x14ac:dyDescent="0.25">
      <c r="A948" s="1">
        <v>947</v>
      </c>
      <c r="B948" s="4">
        <v>322</v>
      </c>
      <c r="C948" s="1">
        <v>0</v>
      </c>
    </row>
    <row r="949" spans="1:3" x14ac:dyDescent="0.25">
      <c r="A949" s="1">
        <v>948</v>
      </c>
      <c r="B949" s="4">
        <v>108</v>
      </c>
      <c r="C949" s="1">
        <v>0</v>
      </c>
    </row>
    <row r="950" spans="1:3" x14ac:dyDescent="0.25">
      <c r="A950" s="1">
        <v>949</v>
      </c>
      <c r="B950" s="4">
        <v>167</v>
      </c>
      <c r="C950" s="1">
        <v>0</v>
      </c>
    </row>
    <row r="951" spans="1:3" x14ac:dyDescent="0.25">
      <c r="A951" s="1">
        <v>950</v>
      </c>
      <c r="B951" s="4">
        <v>267</v>
      </c>
      <c r="C951" s="1">
        <v>0</v>
      </c>
    </row>
    <row r="952" spans="1:3" x14ac:dyDescent="0.25">
      <c r="A952" s="1">
        <v>951</v>
      </c>
      <c r="B952" s="4">
        <v>1152</v>
      </c>
      <c r="C952" s="1">
        <v>1</v>
      </c>
    </row>
    <row r="953" spans="1:3" x14ac:dyDescent="0.25">
      <c r="A953" s="1">
        <v>952</v>
      </c>
      <c r="B953" s="4">
        <v>787</v>
      </c>
      <c r="C953" s="1">
        <v>0</v>
      </c>
    </row>
    <row r="954" spans="1:3" x14ac:dyDescent="0.25">
      <c r="A954" s="1">
        <v>953</v>
      </c>
      <c r="B954" s="4">
        <v>707</v>
      </c>
      <c r="C954" s="1">
        <v>1</v>
      </c>
    </row>
    <row r="955" spans="1:3" x14ac:dyDescent="0.25">
      <c r="A955" s="1">
        <v>954</v>
      </c>
      <c r="B955" s="4">
        <v>1131</v>
      </c>
      <c r="C955" s="1">
        <v>1</v>
      </c>
    </row>
    <row r="956" spans="1:3" x14ac:dyDescent="0.25">
      <c r="A956" s="1">
        <v>955</v>
      </c>
      <c r="B956" s="4">
        <v>268</v>
      </c>
      <c r="C956" s="1">
        <v>0</v>
      </c>
    </row>
    <row r="957" spans="1:3" x14ac:dyDescent="0.25">
      <c r="A957" s="1">
        <v>956</v>
      </c>
      <c r="B957" s="4">
        <v>509</v>
      </c>
      <c r="C957" s="1">
        <v>0</v>
      </c>
    </row>
    <row r="958" spans="1:3" x14ac:dyDescent="0.25">
      <c r="A958" s="1">
        <v>957</v>
      </c>
      <c r="B958" s="4">
        <v>616</v>
      </c>
      <c r="C958" s="1">
        <v>0</v>
      </c>
    </row>
    <row r="959" spans="1:3" x14ac:dyDescent="0.25">
      <c r="A959" s="1">
        <v>958</v>
      </c>
      <c r="B959" s="4">
        <v>1297</v>
      </c>
      <c r="C959" s="1">
        <v>1</v>
      </c>
    </row>
    <row r="960" spans="1:3" x14ac:dyDescent="0.25">
      <c r="A960" s="1">
        <v>959</v>
      </c>
      <c r="B960" s="4">
        <v>362</v>
      </c>
      <c r="C960" s="1">
        <v>0</v>
      </c>
    </row>
    <row r="961" spans="1:3" x14ac:dyDescent="0.25">
      <c r="A961" s="1">
        <v>960</v>
      </c>
      <c r="B961" s="4">
        <v>626</v>
      </c>
      <c r="C961" s="1">
        <v>0</v>
      </c>
    </row>
    <row r="962" spans="1:3" x14ac:dyDescent="0.25">
      <c r="A962" s="1">
        <v>961</v>
      </c>
      <c r="B962" s="4">
        <v>1164</v>
      </c>
      <c r="C962" s="1">
        <v>1</v>
      </c>
    </row>
    <row r="963" spans="1:3" x14ac:dyDescent="0.25">
      <c r="A963" s="1">
        <v>962</v>
      </c>
      <c r="B963" s="4">
        <v>509</v>
      </c>
      <c r="C963" s="1">
        <v>0</v>
      </c>
    </row>
    <row r="964" spans="1:3" x14ac:dyDescent="0.25">
      <c r="A964" s="1">
        <v>963</v>
      </c>
      <c r="B964" s="4">
        <v>856</v>
      </c>
      <c r="C964" s="1">
        <v>0</v>
      </c>
    </row>
    <row r="965" spans="1:3" x14ac:dyDescent="0.25">
      <c r="A965" s="1">
        <v>964</v>
      </c>
      <c r="B965" s="4">
        <v>389</v>
      </c>
      <c r="C965" s="1">
        <v>0</v>
      </c>
    </row>
    <row r="966" spans="1:3" x14ac:dyDescent="0.25">
      <c r="A966" s="1">
        <v>965</v>
      </c>
      <c r="B966" s="4">
        <v>1431</v>
      </c>
      <c r="C966" s="1">
        <v>1</v>
      </c>
    </row>
    <row r="967" spans="1:3" x14ac:dyDescent="0.25">
      <c r="A967" s="1">
        <v>966</v>
      </c>
      <c r="B967" s="4">
        <v>419</v>
      </c>
      <c r="C967" s="1">
        <v>0</v>
      </c>
    </row>
    <row r="968" spans="1:3" x14ac:dyDescent="0.25">
      <c r="A968" s="1">
        <v>967</v>
      </c>
      <c r="B968" s="4">
        <v>641</v>
      </c>
      <c r="C968" s="1">
        <v>0</v>
      </c>
    </row>
    <row r="969" spans="1:3" x14ac:dyDescent="0.25">
      <c r="A969" s="1">
        <v>968</v>
      </c>
      <c r="B969" s="4">
        <v>518</v>
      </c>
      <c r="C969" s="1">
        <v>0</v>
      </c>
    </row>
    <row r="970" spans="1:3" x14ac:dyDescent="0.25">
      <c r="A970" s="1">
        <v>969</v>
      </c>
      <c r="B970" s="4">
        <v>309</v>
      </c>
      <c r="C970" s="1">
        <v>0</v>
      </c>
    </row>
    <row r="971" spans="1:3" x14ac:dyDescent="0.25">
      <c r="A971" s="1">
        <v>970</v>
      </c>
      <c r="B971" s="4">
        <v>564</v>
      </c>
      <c r="C971" s="1">
        <v>0</v>
      </c>
    </row>
    <row r="972" spans="1:3" x14ac:dyDescent="0.25">
      <c r="A972" s="1">
        <v>971</v>
      </c>
      <c r="B972" s="4">
        <v>174</v>
      </c>
      <c r="C972" s="1">
        <v>0</v>
      </c>
    </row>
    <row r="973" spans="1:3" x14ac:dyDescent="0.25">
      <c r="A973" s="1">
        <v>972</v>
      </c>
      <c r="B973" s="4">
        <v>671</v>
      </c>
      <c r="C973" s="1">
        <v>0</v>
      </c>
    </row>
    <row r="974" spans="1:3" x14ac:dyDescent="0.25">
      <c r="A974" s="1">
        <v>973</v>
      </c>
      <c r="B974" s="4">
        <v>587</v>
      </c>
      <c r="C974" s="1">
        <v>0</v>
      </c>
    </row>
    <row r="975" spans="1:3" x14ac:dyDescent="0.25">
      <c r="A975" s="1">
        <v>974</v>
      </c>
      <c r="B975" s="4">
        <v>865</v>
      </c>
      <c r="C975" s="1">
        <v>1</v>
      </c>
    </row>
    <row r="976" spans="1:3" x14ac:dyDescent="0.25">
      <c r="A976" s="1">
        <v>975</v>
      </c>
      <c r="B976" s="4">
        <v>391</v>
      </c>
      <c r="C976" s="1">
        <v>0</v>
      </c>
    </row>
    <row r="977" spans="1:3" x14ac:dyDescent="0.25">
      <c r="A977" s="1">
        <v>976</v>
      </c>
      <c r="B977" s="4">
        <v>932</v>
      </c>
      <c r="C977" s="1">
        <v>1</v>
      </c>
    </row>
    <row r="978" spans="1:3" x14ac:dyDescent="0.25">
      <c r="A978" s="1">
        <v>977</v>
      </c>
      <c r="B978" s="4">
        <v>337</v>
      </c>
      <c r="C978" s="1">
        <v>0</v>
      </c>
    </row>
    <row r="979" spans="1:3" x14ac:dyDescent="0.25">
      <c r="A979" s="1">
        <v>978</v>
      </c>
      <c r="B979" s="4">
        <v>410</v>
      </c>
      <c r="C979" s="1">
        <v>0</v>
      </c>
    </row>
    <row r="980" spans="1:3" x14ac:dyDescent="0.25">
      <c r="A980" s="1">
        <v>979</v>
      </c>
      <c r="B980" s="4">
        <v>936</v>
      </c>
      <c r="C980" s="1">
        <v>1</v>
      </c>
    </row>
    <row r="981" spans="1:3" x14ac:dyDescent="0.25">
      <c r="A981" s="1">
        <v>980</v>
      </c>
      <c r="B981" s="4">
        <v>1394</v>
      </c>
      <c r="C981" s="1">
        <v>1</v>
      </c>
    </row>
    <row r="982" spans="1:3" x14ac:dyDescent="0.25">
      <c r="A982" s="1">
        <v>981</v>
      </c>
      <c r="B982" s="4">
        <v>519</v>
      </c>
      <c r="C982" s="1">
        <v>0</v>
      </c>
    </row>
    <row r="983" spans="1:3" x14ac:dyDescent="0.25">
      <c r="A983" s="1">
        <v>982</v>
      </c>
      <c r="B983" s="4">
        <v>287</v>
      </c>
      <c r="C983" s="1">
        <v>0</v>
      </c>
    </row>
    <row r="984" spans="1:3" x14ac:dyDescent="0.25">
      <c r="A984" s="1">
        <v>983</v>
      </c>
      <c r="B984" s="4">
        <v>541</v>
      </c>
      <c r="C984" s="1">
        <v>0</v>
      </c>
    </row>
    <row r="985" spans="1:3" x14ac:dyDescent="0.25">
      <c r="A985" s="1">
        <v>984</v>
      </c>
      <c r="B985" s="4">
        <v>261</v>
      </c>
      <c r="C985" s="1">
        <v>0</v>
      </c>
    </row>
    <row r="986" spans="1:3" x14ac:dyDescent="0.25">
      <c r="A986" s="1">
        <v>985</v>
      </c>
      <c r="B986" s="4">
        <v>376</v>
      </c>
      <c r="C986" s="1">
        <v>0</v>
      </c>
    </row>
    <row r="987" spans="1:3" x14ac:dyDescent="0.25">
      <c r="A987" s="1">
        <v>986</v>
      </c>
      <c r="B987" s="4">
        <v>193</v>
      </c>
      <c r="C987" s="1">
        <v>0</v>
      </c>
    </row>
    <row r="988" spans="1:3" x14ac:dyDescent="0.25">
      <c r="A988" s="1">
        <v>987</v>
      </c>
      <c r="B988" s="4">
        <v>996</v>
      </c>
      <c r="C988" s="1">
        <v>0</v>
      </c>
    </row>
    <row r="989" spans="1:3" x14ac:dyDescent="0.25">
      <c r="A989" s="1">
        <v>988</v>
      </c>
      <c r="B989" s="4">
        <v>678</v>
      </c>
      <c r="C989" s="1">
        <v>1</v>
      </c>
    </row>
    <row r="990" spans="1:3" x14ac:dyDescent="0.25">
      <c r="A990" s="1">
        <v>989</v>
      </c>
      <c r="B990" s="4">
        <v>182</v>
      </c>
      <c r="C990" s="1">
        <v>0</v>
      </c>
    </row>
    <row r="991" spans="1:3" x14ac:dyDescent="0.25">
      <c r="A991" s="1">
        <v>990</v>
      </c>
      <c r="B991" s="4">
        <v>488</v>
      </c>
      <c r="C991" s="1">
        <v>0</v>
      </c>
    </row>
    <row r="992" spans="1:3" x14ac:dyDescent="0.25">
      <c r="A992" s="1">
        <v>991</v>
      </c>
      <c r="B992" s="4">
        <v>494</v>
      </c>
      <c r="C992" s="1">
        <v>0</v>
      </c>
    </row>
    <row r="993" spans="1:3" x14ac:dyDescent="0.25">
      <c r="A993" s="1">
        <v>992</v>
      </c>
      <c r="B993" s="4">
        <v>612</v>
      </c>
      <c r="C993" s="1">
        <v>0</v>
      </c>
    </row>
    <row r="994" spans="1:3" x14ac:dyDescent="0.25">
      <c r="A994" s="1">
        <v>993</v>
      </c>
      <c r="B994" s="4">
        <v>965</v>
      </c>
      <c r="C994" s="1">
        <v>1</v>
      </c>
    </row>
    <row r="995" spans="1:3" x14ac:dyDescent="0.25">
      <c r="A995" s="1">
        <v>994</v>
      </c>
      <c r="B995" s="4">
        <v>1146</v>
      </c>
      <c r="C995" s="1">
        <v>1</v>
      </c>
    </row>
    <row r="996" spans="1:3" x14ac:dyDescent="0.25">
      <c r="A996" s="1">
        <v>995</v>
      </c>
      <c r="B996" s="4">
        <v>578</v>
      </c>
      <c r="C996" s="1">
        <v>0</v>
      </c>
    </row>
    <row r="997" spans="1:3" x14ac:dyDescent="0.25">
      <c r="A997" s="1">
        <v>996</v>
      </c>
      <c r="B997" s="4">
        <v>663</v>
      </c>
      <c r="C997" s="1">
        <v>0</v>
      </c>
    </row>
    <row r="998" spans="1:3" x14ac:dyDescent="0.25">
      <c r="A998" s="1">
        <v>997</v>
      </c>
      <c r="B998" s="4">
        <v>782</v>
      </c>
      <c r="C998" s="1">
        <v>0</v>
      </c>
    </row>
    <row r="999" spans="1:3" x14ac:dyDescent="0.25">
      <c r="A999" s="1">
        <v>998</v>
      </c>
      <c r="B999" s="4">
        <v>738</v>
      </c>
      <c r="C999" s="1">
        <v>1</v>
      </c>
    </row>
    <row r="1000" spans="1:3" x14ac:dyDescent="0.25">
      <c r="A1000" s="1">
        <v>999</v>
      </c>
      <c r="B1000" s="4">
        <v>538</v>
      </c>
      <c r="C1000" s="1">
        <v>0</v>
      </c>
    </row>
    <row r="1001" spans="1:3" x14ac:dyDescent="0.25">
      <c r="A1001" s="1">
        <v>1000</v>
      </c>
      <c r="B1001" s="4">
        <v>629</v>
      </c>
      <c r="C1001" s="1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20"/>
  <sheetViews>
    <sheetView showGridLines="0" workbookViewId="0">
      <selection activeCell="B22" sqref="B22"/>
    </sheetView>
  </sheetViews>
  <sheetFormatPr defaultRowHeight="15.75" x14ac:dyDescent="0.25"/>
  <cols>
    <col min="10" max="10" width="12.625" bestFit="1" customWidth="1"/>
  </cols>
  <sheetData>
    <row r="2" spans="2:14" ht="18.75" x14ac:dyDescent="0.3">
      <c r="B2" s="5" t="s">
        <v>3</v>
      </c>
      <c r="N2" t="s">
        <v>4</v>
      </c>
    </row>
    <row r="4" spans="2:14" x14ac:dyDescent="0.25">
      <c r="B4" s="11" t="s">
        <v>5</v>
      </c>
      <c r="C4" s="12"/>
      <c r="D4" s="12"/>
      <c r="E4" s="12"/>
      <c r="F4" s="12"/>
      <c r="G4" s="13"/>
      <c r="J4" s="11" t="s">
        <v>6</v>
      </c>
      <c r="K4" s="12"/>
      <c r="L4" s="13"/>
    </row>
    <row r="5" spans="2:14" x14ac:dyDescent="0.25">
      <c r="B5" s="21" t="s">
        <v>21</v>
      </c>
      <c r="C5" s="18"/>
      <c r="D5" s="21" t="s">
        <v>22</v>
      </c>
      <c r="E5" s="18"/>
      <c r="F5" s="21" t="s">
        <v>23</v>
      </c>
      <c r="G5" s="18"/>
      <c r="J5" s="10" t="s">
        <v>7</v>
      </c>
      <c r="K5" s="10" t="s">
        <v>8</v>
      </c>
      <c r="L5" s="10" t="s">
        <v>9</v>
      </c>
    </row>
    <row r="6" spans="2:14" x14ac:dyDescent="0.25">
      <c r="J6" s="7">
        <v>0</v>
      </c>
      <c r="K6" s="7">
        <v>0</v>
      </c>
      <c r="L6" s="7">
        <v>0</v>
      </c>
    </row>
    <row r="9" spans="2:14" x14ac:dyDescent="0.25">
      <c r="B9" s="11" t="s">
        <v>10</v>
      </c>
      <c r="C9" s="12"/>
      <c r="D9" s="12"/>
      <c r="E9" s="12"/>
      <c r="F9" s="13"/>
    </row>
    <row r="10" spans="2:14" x14ac:dyDescent="0.25">
      <c r="B10" s="14" t="s">
        <v>11</v>
      </c>
      <c r="C10" s="15"/>
      <c r="D10" s="16"/>
      <c r="E10" s="17" t="s">
        <v>12</v>
      </c>
      <c r="F10" s="18"/>
    </row>
    <row r="11" spans="2:14" x14ac:dyDescent="0.25">
      <c r="B11" s="14" t="s">
        <v>13</v>
      </c>
      <c r="C11" s="15"/>
      <c r="D11" s="16"/>
      <c r="E11" s="7" t="s">
        <v>0</v>
      </c>
      <c r="F11" s="7" t="s">
        <v>2</v>
      </c>
    </row>
    <row r="12" spans="2:14" x14ac:dyDescent="0.25">
      <c r="B12" s="14" t="s">
        <v>14</v>
      </c>
      <c r="C12" s="15"/>
      <c r="D12" s="16"/>
      <c r="E12" s="17" t="s">
        <v>15</v>
      </c>
      <c r="F12" s="18"/>
    </row>
    <row r="13" spans="2:14" x14ac:dyDescent="0.25">
      <c r="B13" s="14" t="s">
        <v>16</v>
      </c>
      <c r="C13" s="15"/>
      <c r="D13" s="16"/>
      <c r="E13" s="19">
        <v>12345</v>
      </c>
      <c r="F13" s="20"/>
      <c r="G13" s="6"/>
      <c r="H13" s="6"/>
    </row>
    <row r="14" spans="2:14" x14ac:dyDescent="0.25">
      <c r="B14" s="14" t="s">
        <v>17</v>
      </c>
      <c r="C14" s="15"/>
      <c r="D14" s="16"/>
      <c r="E14" s="19">
        <v>2</v>
      </c>
      <c r="F14" s="20"/>
    </row>
    <row r="15" spans="2:14" x14ac:dyDescent="0.25">
      <c r="B15" s="14" t="s">
        <v>18</v>
      </c>
      <c r="C15" s="15"/>
      <c r="D15" s="16"/>
      <c r="E15" s="19">
        <v>600</v>
      </c>
      <c r="F15" s="20"/>
    </row>
    <row r="16" spans="2:14" x14ac:dyDescent="0.25">
      <c r="B16" s="14" t="s">
        <v>19</v>
      </c>
      <c r="C16" s="15"/>
      <c r="D16" s="16"/>
      <c r="E16" s="19">
        <v>400</v>
      </c>
      <c r="F16" s="20"/>
    </row>
    <row r="17" spans="2:6" x14ac:dyDescent="0.25">
      <c r="B17" s="14" t="s">
        <v>20</v>
      </c>
      <c r="C17" s="15"/>
      <c r="D17" s="16"/>
      <c r="E17" s="19">
        <v>0</v>
      </c>
      <c r="F17" s="20"/>
    </row>
    <row r="19" spans="2:6" x14ac:dyDescent="0.25">
      <c r="B19" s="11" t="s">
        <v>13</v>
      </c>
      <c r="C19" s="13"/>
    </row>
    <row r="20" spans="2:6" x14ac:dyDescent="0.25">
      <c r="B20" s="10" t="s">
        <v>0</v>
      </c>
      <c r="C20" s="10" t="s">
        <v>2</v>
      </c>
    </row>
    <row r="21" spans="2:6" x14ac:dyDescent="0.25">
      <c r="B21" s="7">
        <v>122</v>
      </c>
      <c r="C21" s="7">
        <v>0</v>
      </c>
    </row>
    <row r="22" spans="2:6" x14ac:dyDescent="0.25">
      <c r="B22" s="7">
        <v>289</v>
      </c>
      <c r="C22" s="7">
        <v>0</v>
      </c>
    </row>
    <row r="23" spans="2:6" x14ac:dyDescent="0.25">
      <c r="B23" s="7">
        <v>365</v>
      </c>
      <c r="C23" s="7">
        <v>1</v>
      </c>
    </row>
    <row r="24" spans="2:6" x14ac:dyDescent="0.25">
      <c r="B24" s="7">
        <v>398</v>
      </c>
      <c r="C24" s="7">
        <v>0</v>
      </c>
    </row>
    <row r="25" spans="2:6" x14ac:dyDescent="0.25">
      <c r="B25" s="7">
        <v>409</v>
      </c>
      <c r="C25" s="7">
        <v>0</v>
      </c>
    </row>
    <row r="26" spans="2:6" x14ac:dyDescent="0.25">
      <c r="B26" s="7">
        <v>491</v>
      </c>
      <c r="C26" s="7">
        <v>0</v>
      </c>
    </row>
    <row r="27" spans="2:6" x14ac:dyDescent="0.25">
      <c r="B27" s="7">
        <v>524</v>
      </c>
      <c r="C27" s="7">
        <v>0</v>
      </c>
    </row>
    <row r="28" spans="2:6" x14ac:dyDescent="0.25">
      <c r="B28" s="7">
        <v>573</v>
      </c>
      <c r="C28" s="7">
        <v>0</v>
      </c>
    </row>
    <row r="29" spans="2:6" x14ac:dyDescent="0.25">
      <c r="B29" s="7">
        <v>617</v>
      </c>
      <c r="C29" s="7">
        <v>0</v>
      </c>
    </row>
    <row r="30" spans="2:6" x14ac:dyDescent="0.25">
      <c r="B30" s="7">
        <v>628</v>
      </c>
      <c r="C30" s="7">
        <v>0</v>
      </c>
    </row>
    <row r="31" spans="2:6" x14ac:dyDescent="0.25">
      <c r="B31" s="7">
        <v>652</v>
      </c>
      <c r="C31" s="7">
        <v>0</v>
      </c>
    </row>
    <row r="32" spans="2:6" x14ac:dyDescent="0.25">
      <c r="B32" s="7">
        <v>670</v>
      </c>
      <c r="C32" s="7">
        <v>0</v>
      </c>
    </row>
    <row r="33" spans="2:3" x14ac:dyDescent="0.25">
      <c r="B33" s="7">
        <v>674</v>
      </c>
      <c r="C33" s="7">
        <v>1</v>
      </c>
    </row>
    <row r="34" spans="2:3" x14ac:dyDescent="0.25">
      <c r="B34" s="7">
        <v>680</v>
      </c>
      <c r="C34" s="7">
        <v>0</v>
      </c>
    </row>
    <row r="35" spans="2:3" x14ac:dyDescent="0.25">
      <c r="B35" s="7">
        <v>685</v>
      </c>
      <c r="C35" s="7">
        <v>1</v>
      </c>
    </row>
    <row r="36" spans="2:3" x14ac:dyDescent="0.25">
      <c r="B36" s="7">
        <v>698</v>
      </c>
      <c r="C36" s="7">
        <v>0</v>
      </c>
    </row>
    <row r="37" spans="2:3" x14ac:dyDescent="0.25">
      <c r="B37" s="7">
        <v>726</v>
      </c>
      <c r="C37" s="7">
        <v>1</v>
      </c>
    </row>
    <row r="38" spans="2:3" x14ac:dyDescent="0.25">
      <c r="B38" s="7">
        <v>776</v>
      </c>
      <c r="C38" s="7">
        <v>0</v>
      </c>
    </row>
    <row r="39" spans="2:3" x14ac:dyDescent="0.25">
      <c r="B39" s="7">
        <v>778</v>
      </c>
      <c r="C39" s="7">
        <v>1</v>
      </c>
    </row>
    <row r="40" spans="2:3" x14ac:dyDescent="0.25">
      <c r="B40" s="7">
        <v>810</v>
      </c>
      <c r="C40" s="7">
        <v>1</v>
      </c>
    </row>
    <row r="41" spans="2:3" x14ac:dyDescent="0.25">
      <c r="B41" s="7">
        <v>975</v>
      </c>
      <c r="C41" s="7">
        <v>1</v>
      </c>
    </row>
    <row r="42" spans="2:3" x14ac:dyDescent="0.25">
      <c r="B42" s="7">
        <v>1011</v>
      </c>
      <c r="C42" s="7">
        <v>1</v>
      </c>
    </row>
    <row r="43" spans="2:3" x14ac:dyDescent="0.25">
      <c r="B43" s="7">
        <v>1019</v>
      </c>
      <c r="C43" s="7">
        <v>1</v>
      </c>
    </row>
    <row r="44" spans="2:3" x14ac:dyDescent="0.25">
      <c r="B44" s="7">
        <v>1037</v>
      </c>
      <c r="C44" s="7">
        <v>1</v>
      </c>
    </row>
    <row r="45" spans="2:3" x14ac:dyDescent="0.25">
      <c r="B45" s="7">
        <v>1169</v>
      </c>
      <c r="C45" s="7">
        <v>0</v>
      </c>
    </row>
    <row r="46" spans="2:3" x14ac:dyDescent="0.25">
      <c r="B46" s="7">
        <v>1507</v>
      </c>
      <c r="C46" s="7">
        <v>1</v>
      </c>
    </row>
    <row r="47" spans="2:3" x14ac:dyDescent="0.25">
      <c r="B47" s="7">
        <v>1845</v>
      </c>
      <c r="C47" s="7">
        <v>1</v>
      </c>
    </row>
    <row r="48" spans="2:3" x14ac:dyDescent="0.25">
      <c r="B48" s="7">
        <v>2498</v>
      </c>
      <c r="C48" s="7">
        <v>0</v>
      </c>
    </row>
    <row r="49" spans="2:3" x14ac:dyDescent="0.25">
      <c r="B49" s="7">
        <v>441</v>
      </c>
      <c r="C49" s="7">
        <v>0</v>
      </c>
    </row>
    <row r="50" spans="2:3" x14ac:dyDescent="0.25">
      <c r="B50" s="7">
        <v>793</v>
      </c>
      <c r="C50" s="7">
        <v>1</v>
      </c>
    </row>
    <row r="51" spans="2:3" x14ac:dyDescent="0.25">
      <c r="B51" s="7">
        <v>391</v>
      </c>
      <c r="C51" s="7">
        <v>0</v>
      </c>
    </row>
    <row r="52" spans="2:3" x14ac:dyDescent="0.25">
      <c r="B52" s="7">
        <v>506</v>
      </c>
      <c r="C52" s="7">
        <v>0</v>
      </c>
    </row>
    <row r="53" spans="2:3" x14ac:dyDescent="0.25">
      <c r="B53" s="7">
        <v>761</v>
      </c>
      <c r="C53" s="7">
        <v>0</v>
      </c>
    </row>
    <row r="54" spans="2:3" x14ac:dyDescent="0.25">
      <c r="B54" s="7">
        <v>1463</v>
      </c>
      <c r="C54" s="7">
        <v>1</v>
      </c>
    </row>
    <row r="55" spans="2:3" x14ac:dyDescent="0.25">
      <c r="B55" s="7">
        <v>628</v>
      </c>
      <c r="C55" s="7">
        <v>1</v>
      </c>
    </row>
    <row r="56" spans="2:3" x14ac:dyDescent="0.25">
      <c r="B56" s="7">
        <v>706</v>
      </c>
      <c r="C56" s="7">
        <v>0</v>
      </c>
    </row>
    <row r="57" spans="2:3" x14ac:dyDescent="0.25">
      <c r="B57" s="7">
        <v>289</v>
      </c>
      <c r="C57" s="7">
        <v>0</v>
      </c>
    </row>
    <row r="58" spans="2:3" x14ac:dyDescent="0.25">
      <c r="B58" s="7">
        <v>654</v>
      </c>
      <c r="C58" s="7">
        <v>0</v>
      </c>
    </row>
    <row r="59" spans="2:3" x14ac:dyDescent="0.25">
      <c r="B59" s="7">
        <v>557</v>
      </c>
      <c r="C59" s="7">
        <v>0</v>
      </c>
    </row>
    <row r="60" spans="2:3" x14ac:dyDescent="0.25">
      <c r="B60" s="7">
        <v>1033</v>
      </c>
      <c r="C60" s="7">
        <v>1</v>
      </c>
    </row>
    <row r="61" spans="2:3" x14ac:dyDescent="0.25">
      <c r="B61" s="7">
        <v>415</v>
      </c>
      <c r="C61" s="7">
        <v>0</v>
      </c>
    </row>
    <row r="62" spans="2:3" x14ac:dyDescent="0.25">
      <c r="B62" s="7">
        <v>796</v>
      </c>
      <c r="C62" s="7">
        <v>0</v>
      </c>
    </row>
    <row r="63" spans="2:3" x14ac:dyDescent="0.25">
      <c r="B63" s="7">
        <v>561</v>
      </c>
      <c r="C63" s="7">
        <v>0</v>
      </c>
    </row>
    <row r="64" spans="2:3" x14ac:dyDescent="0.25">
      <c r="B64" s="7">
        <v>592</v>
      </c>
      <c r="C64" s="7">
        <v>0</v>
      </c>
    </row>
    <row r="65" spans="2:3" x14ac:dyDescent="0.25">
      <c r="B65" s="7">
        <v>209</v>
      </c>
      <c r="C65" s="7">
        <v>0</v>
      </c>
    </row>
    <row r="66" spans="2:3" x14ac:dyDescent="0.25">
      <c r="B66" s="7">
        <v>813</v>
      </c>
      <c r="C66" s="7">
        <v>0</v>
      </c>
    </row>
    <row r="67" spans="2:3" x14ac:dyDescent="0.25">
      <c r="B67" s="7">
        <v>323</v>
      </c>
      <c r="C67" s="7">
        <v>0</v>
      </c>
    </row>
    <row r="68" spans="2:3" x14ac:dyDescent="0.25">
      <c r="B68" s="7">
        <v>671</v>
      </c>
      <c r="C68" s="7">
        <v>0</v>
      </c>
    </row>
    <row r="69" spans="2:3" x14ac:dyDescent="0.25">
      <c r="B69" s="7">
        <v>858</v>
      </c>
      <c r="C69" s="7">
        <v>1</v>
      </c>
    </row>
    <row r="70" spans="2:3" x14ac:dyDescent="0.25">
      <c r="B70" s="7">
        <v>990</v>
      </c>
      <c r="C70" s="7">
        <v>1</v>
      </c>
    </row>
    <row r="71" spans="2:3" x14ac:dyDescent="0.25">
      <c r="B71" s="7">
        <v>493</v>
      </c>
      <c r="C71" s="7">
        <v>0</v>
      </c>
    </row>
    <row r="72" spans="2:3" x14ac:dyDescent="0.25">
      <c r="B72" s="7">
        <v>372</v>
      </c>
      <c r="C72" s="7">
        <v>0</v>
      </c>
    </row>
    <row r="73" spans="2:3" x14ac:dyDescent="0.25">
      <c r="B73" s="7">
        <v>647</v>
      </c>
      <c r="C73" s="7">
        <v>0</v>
      </c>
    </row>
    <row r="74" spans="2:3" x14ac:dyDescent="0.25">
      <c r="B74" s="7">
        <v>1295</v>
      </c>
      <c r="C74" s="7">
        <v>1</v>
      </c>
    </row>
    <row r="75" spans="2:3" x14ac:dyDescent="0.25">
      <c r="B75" s="7">
        <v>1356</v>
      </c>
      <c r="C75" s="7">
        <v>1</v>
      </c>
    </row>
    <row r="76" spans="2:3" x14ac:dyDescent="0.25">
      <c r="B76" s="7">
        <v>960</v>
      </c>
      <c r="C76" s="7">
        <v>1</v>
      </c>
    </row>
    <row r="77" spans="2:3" x14ac:dyDescent="0.25">
      <c r="B77" s="7">
        <v>976</v>
      </c>
      <c r="C77" s="7">
        <v>1</v>
      </c>
    </row>
    <row r="78" spans="2:3" x14ac:dyDescent="0.25">
      <c r="B78" s="7">
        <v>1176</v>
      </c>
      <c r="C78" s="7">
        <v>1</v>
      </c>
    </row>
    <row r="79" spans="2:3" x14ac:dyDescent="0.25">
      <c r="B79" s="7">
        <v>426</v>
      </c>
      <c r="C79" s="7">
        <v>0</v>
      </c>
    </row>
    <row r="80" spans="2:3" x14ac:dyDescent="0.25">
      <c r="B80" s="7">
        <v>333</v>
      </c>
      <c r="C80" s="7">
        <v>0</v>
      </c>
    </row>
    <row r="81" spans="2:3" x14ac:dyDescent="0.25">
      <c r="B81" s="7">
        <v>1257</v>
      </c>
      <c r="C81" s="7">
        <v>1</v>
      </c>
    </row>
    <row r="82" spans="2:3" x14ac:dyDescent="0.25">
      <c r="B82" s="7">
        <v>1144</v>
      </c>
      <c r="C82" s="7">
        <v>1</v>
      </c>
    </row>
    <row r="83" spans="2:3" x14ac:dyDescent="0.25">
      <c r="B83" s="7">
        <v>938</v>
      </c>
      <c r="C83" s="7">
        <v>1</v>
      </c>
    </row>
    <row r="84" spans="2:3" x14ac:dyDescent="0.25">
      <c r="B84" s="7">
        <v>620</v>
      </c>
      <c r="C84" s="7">
        <v>0</v>
      </c>
    </row>
    <row r="85" spans="2:3" x14ac:dyDescent="0.25">
      <c r="B85" s="7">
        <v>361</v>
      </c>
      <c r="C85" s="7">
        <v>0</v>
      </c>
    </row>
    <row r="86" spans="2:3" x14ac:dyDescent="0.25">
      <c r="B86" s="7">
        <v>300</v>
      </c>
      <c r="C86" s="7">
        <v>0</v>
      </c>
    </row>
    <row r="87" spans="2:3" x14ac:dyDescent="0.25">
      <c r="B87" s="7">
        <v>596</v>
      </c>
      <c r="C87" s="7">
        <v>0</v>
      </c>
    </row>
    <row r="88" spans="2:3" x14ac:dyDescent="0.25">
      <c r="B88" s="7">
        <v>527</v>
      </c>
      <c r="C88" s="7">
        <v>0</v>
      </c>
    </row>
    <row r="89" spans="2:3" x14ac:dyDescent="0.25">
      <c r="B89" s="7">
        <v>1376</v>
      </c>
      <c r="C89" s="7">
        <v>1</v>
      </c>
    </row>
    <row r="90" spans="2:3" x14ac:dyDescent="0.25">
      <c r="B90" s="7">
        <v>1509</v>
      </c>
      <c r="C90" s="7">
        <v>1</v>
      </c>
    </row>
    <row r="91" spans="2:3" x14ac:dyDescent="0.25">
      <c r="B91" s="7">
        <v>263</v>
      </c>
      <c r="C91" s="7">
        <v>0</v>
      </c>
    </row>
    <row r="92" spans="2:3" x14ac:dyDescent="0.25">
      <c r="B92" s="7">
        <v>324</v>
      </c>
      <c r="C92" s="7">
        <v>0</v>
      </c>
    </row>
    <row r="93" spans="2:3" x14ac:dyDescent="0.25">
      <c r="B93" s="7">
        <v>850</v>
      </c>
      <c r="C93" s="7">
        <v>1</v>
      </c>
    </row>
    <row r="94" spans="2:3" x14ac:dyDescent="0.25">
      <c r="B94" s="7">
        <v>786</v>
      </c>
      <c r="C94" s="7">
        <v>0</v>
      </c>
    </row>
    <row r="95" spans="2:3" x14ac:dyDescent="0.25">
      <c r="B95" s="7">
        <v>363</v>
      </c>
      <c r="C95" s="7">
        <v>0</v>
      </c>
    </row>
    <row r="96" spans="2:3" x14ac:dyDescent="0.25">
      <c r="B96" s="7">
        <v>990</v>
      </c>
      <c r="C96" s="7">
        <v>1</v>
      </c>
    </row>
    <row r="97" spans="2:3" x14ac:dyDescent="0.25">
      <c r="B97" s="7">
        <v>164</v>
      </c>
      <c r="C97" s="7">
        <v>0</v>
      </c>
    </row>
    <row r="98" spans="2:3" x14ac:dyDescent="0.25">
      <c r="B98" s="7">
        <v>582</v>
      </c>
      <c r="C98" s="7">
        <v>0</v>
      </c>
    </row>
    <row r="99" spans="2:3" x14ac:dyDescent="0.25">
      <c r="B99" s="7">
        <v>553</v>
      </c>
      <c r="C99" s="7">
        <v>0</v>
      </c>
    </row>
    <row r="100" spans="2:3" x14ac:dyDescent="0.25">
      <c r="B100" s="7">
        <v>432</v>
      </c>
      <c r="C100" s="7">
        <v>0</v>
      </c>
    </row>
    <row r="101" spans="2:3" x14ac:dyDescent="0.25">
      <c r="B101" s="7">
        <v>468</v>
      </c>
      <c r="C101" s="7">
        <v>0</v>
      </c>
    </row>
    <row r="102" spans="2:3" x14ac:dyDescent="0.25">
      <c r="B102" s="7">
        <v>438</v>
      </c>
      <c r="C102" s="7">
        <v>0</v>
      </c>
    </row>
    <row r="103" spans="2:3" x14ac:dyDescent="0.25">
      <c r="B103" s="7">
        <v>512</v>
      </c>
      <c r="C103" s="7">
        <v>0</v>
      </c>
    </row>
    <row r="104" spans="2:3" x14ac:dyDescent="0.25">
      <c r="B104" s="7">
        <v>451</v>
      </c>
      <c r="C104" s="7">
        <v>0</v>
      </c>
    </row>
    <row r="105" spans="2:3" x14ac:dyDescent="0.25">
      <c r="B105" s="7">
        <v>1055</v>
      </c>
      <c r="C105" s="7">
        <v>1</v>
      </c>
    </row>
    <row r="106" spans="2:3" x14ac:dyDescent="0.25">
      <c r="B106" s="7">
        <v>708</v>
      </c>
      <c r="C106" s="7">
        <v>1</v>
      </c>
    </row>
    <row r="107" spans="2:3" x14ac:dyDescent="0.25">
      <c r="B107" s="7">
        <v>555</v>
      </c>
      <c r="C107" s="7">
        <v>0</v>
      </c>
    </row>
    <row r="108" spans="2:3" x14ac:dyDescent="0.25">
      <c r="B108" s="7">
        <v>377</v>
      </c>
      <c r="C108" s="7">
        <v>0</v>
      </c>
    </row>
    <row r="109" spans="2:3" x14ac:dyDescent="0.25">
      <c r="B109" s="7">
        <v>812</v>
      </c>
      <c r="C109" s="7">
        <v>0</v>
      </c>
    </row>
    <row r="110" spans="2:3" x14ac:dyDescent="0.25">
      <c r="B110" s="7">
        <v>271</v>
      </c>
      <c r="C110" s="7">
        <v>0</v>
      </c>
    </row>
    <row r="111" spans="2:3" x14ac:dyDescent="0.25">
      <c r="B111" s="7">
        <v>317</v>
      </c>
      <c r="C111" s="7">
        <v>0</v>
      </c>
    </row>
    <row r="112" spans="2:3" x14ac:dyDescent="0.25">
      <c r="B112" s="7">
        <v>383</v>
      </c>
      <c r="C112" s="7">
        <v>0</v>
      </c>
    </row>
    <row r="113" spans="2:3" x14ac:dyDescent="0.25">
      <c r="B113" s="7">
        <v>191</v>
      </c>
      <c r="C113" s="7">
        <v>0</v>
      </c>
    </row>
    <row r="114" spans="2:3" x14ac:dyDescent="0.25">
      <c r="B114" s="7">
        <v>915</v>
      </c>
      <c r="C114" s="7">
        <v>1</v>
      </c>
    </row>
    <row r="115" spans="2:3" x14ac:dyDescent="0.25">
      <c r="B115" s="7">
        <v>718</v>
      </c>
      <c r="C115" s="7">
        <v>0</v>
      </c>
    </row>
    <row r="116" spans="2:3" x14ac:dyDescent="0.25">
      <c r="B116" s="7">
        <v>1001</v>
      </c>
      <c r="C116" s="7">
        <v>1</v>
      </c>
    </row>
    <row r="117" spans="2:3" x14ac:dyDescent="0.25">
      <c r="B117" s="7">
        <v>674</v>
      </c>
      <c r="C117" s="7">
        <v>1</v>
      </c>
    </row>
    <row r="118" spans="2:3" x14ac:dyDescent="0.25">
      <c r="B118" s="7">
        <v>1249</v>
      </c>
      <c r="C118" s="7">
        <v>1</v>
      </c>
    </row>
    <row r="119" spans="2:3" x14ac:dyDescent="0.25">
      <c r="B119" s="7">
        <v>1422</v>
      </c>
      <c r="C119" s="7">
        <v>1</v>
      </c>
    </row>
    <row r="120" spans="2:3" x14ac:dyDescent="0.25">
      <c r="B120" s="7">
        <v>696</v>
      </c>
      <c r="C120" s="7">
        <v>0</v>
      </c>
    </row>
    <row r="121" spans="2:3" x14ac:dyDescent="0.25">
      <c r="B121" s="7">
        <v>676</v>
      </c>
      <c r="C121" s="7">
        <v>0</v>
      </c>
    </row>
    <row r="122" spans="2:3" x14ac:dyDescent="0.25">
      <c r="B122" s="7">
        <v>570</v>
      </c>
      <c r="C122" s="7">
        <v>0</v>
      </c>
    </row>
    <row r="123" spans="2:3" x14ac:dyDescent="0.25">
      <c r="B123" s="7">
        <v>554</v>
      </c>
      <c r="C123" s="7">
        <v>0</v>
      </c>
    </row>
    <row r="124" spans="2:3" x14ac:dyDescent="0.25">
      <c r="B124" s="7">
        <v>509</v>
      </c>
      <c r="C124" s="7">
        <v>0</v>
      </c>
    </row>
    <row r="125" spans="2:3" x14ac:dyDescent="0.25">
      <c r="B125" s="7">
        <v>603</v>
      </c>
      <c r="C125" s="7">
        <v>0</v>
      </c>
    </row>
    <row r="126" spans="2:3" x14ac:dyDescent="0.25">
      <c r="B126" s="7">
        <v>356</v>
      </c>
      <c r="C126" s="7">
        <v>0</v>
      </c>
    </row>
    <row r="127" spans="2:3" x14ac:dyDescent="0.25">
      <c r="B127" s="7">
        <v>505</v>
      </c>
      <c r="C127" s="7">
        <v>0</v>
      </c>
    </row>
    <row r="128" spans="2:3" x14ac:dyDescent="0.25">
      <c r="B128" s="7">
        <v>503</v>
      </c>
      <c r="C128" s="7">
        <v>0</v>
      </c>
    </row>
    <row r="129" spans="2:3" x14ac:dyDescent="0.25">
      <c r="B129" s="7">
        <v>2726</v>
      </c>
      <c r="C129" s="7">
        <v>1</v>
      </c>
    </row>
    <row r="130" spans="2:3" x14ac:dyDescent="0.25">
      <c r="B130" s="7">
        <v>582</v>
      </c>
      <c r="C130" s="7">
        <v>0</v>
      </c>
    </row>
    <row r="131" spans="2:3" x14ac:dyDescent="0.25">
      <c r="B131" s="7">
        <v>767</v>
      </c>
      <c r="C131" s="7">
        <v>1</v>
      </c>
    </row>
    <row r="132" spans="2:3" x14ac:dyDescent="0.25">
      <c r="B132" s="7">
        <v>1078</v>
      </c>
      <c r="C132" s="7">
        <v>1</v>
      </c>
    </row>
    <row r="133" spans="2:3" x14ac:dyDescent="0.25">
      <c r="B133" s="7">
        <v>629</v>
      </c>
      <c r="C133" s="7">
        <v>0</v>
      </c>
    </row>
    <row r="134" spans="2:3" x14ac:dyDescent="0.25">
      <c r="B134" s="7">
        <v>831</v>
      </c>
      <c r="C134" s="7">
        <v>0</v>
      </c>
    </row>
    <row r="135" spans="2:3" x14ac:dyDescent="0.25">
      <c r="B135" s="7">
        <v>505</v>
      </c>
      <c r="C135" s="7">
        <v>0</v>
      </c>
    </row>
    <row r="136" spans="2:3" x14ac:dyDescent="0.25">
      <c r="B136" s="7">
        <v>697</v>
      </c>
      <c r="C136" s="7">
        <v>1</v>
      </c>
    </row>
    <row r="137" spans="2:3" x14ac:dyDescent="0.25">
      <c r="B137" s="7">
        <v>972</v>
      </c>
      <c r="C137" s="7">
        <v>1</v>
      </c>
    </row>
    <row r="138" spans="2:3" x14ac:dyDescent="0.25">
      <c r="B138" s="7">
        <v>341</v>
      </c>
      <c r="C138" s="7">
        <v>0</v>
      </c>
    </row>
    <row r="139" spans="2:3" x14ac:dyDescent="0.25">
      <c r="B139" s="7">
        <v>664</v>
      </c>
      <c r="C139" s="7">
        <v>1</v>
      </c>
    </row>
    <row r="140" spans="2:3" x14ac:dyDescent="0.25">
      <c r="B140" s="7">
        <v>1362</v>
      </c>
      <c r="C140" s="7">
        <v>1</v>
      </c>
    </row>
    <row r="141" spans="2:3" x14ac:dyDescent="0.25">
      <c r="B141" s="7">
        <v>1068</v>
      </c>
      <c r="C141" s="7">
        <v>1</v>
      </c>
    </row>
    <row r="142" spans="2:3" x14ac:dyDescent="0.25">
      <c r="B142" s="7">
        <v>1209</v>
      </c>
      <c r="C142" s="7">
        <v>1</v>
      </c>
    </row>
    <row r="143" spans="2:3" x14ac:dyDescent="0.25">
      <c r="B143" s="7">
        <v>1127</v>
      </c>
      <c r="C143" s="7">
        <v>1</v>
      </c>
    </row>
    <row r="144" spans="2:3" x14ac:dyDescent="0.25">
      <c r="B144" s="7">
        <v>1123</v>
      </c>
      <c r="C144" s="7">
        <v>1</v>
      </c>
    </row>
    <row r="145" spans="2:3" x14ac:dyDescent="0.25">
      <c r="B145" s="7">
        <v>781</v>
      </c>
      <c r="C145" s="7">
        <v>0</v>
      </c>
    </row>
    <row r="146" spans="2:3" x14ac:dyDescent="0.25">
      <c r="B146" s="7">
        <v>159</v>
      </c>
      <c r="C146" s="7">
        <v>0</v>
      </c>
    </row>
    <row r="147" spans="2:3" x14ac:dyDescent="0.25">
      <c r="B147" s="7">
        <v>516</v>
      </c>
      <c r="C147" s="7">
        <v>0</v>
      </c>
    </row>
    <row r="148" spans="2:3" x14ac:dyDescent="0.25">
      <c r="B148" s="7">
        <v>582</v>
      </c>
      <c r="C148" s="7">
        <v>0</v>
      </c>
    </row>
    <row r="149" spans="2:3" x14ac:dyDescent="0.25">
      <c r="B149" s="7">
        <v>841</v>
      </c>
      <c r="C149" s="7">
        <v>0</v>
      </c>
    </row>
    <row r="150" spans="2:3" x14ac:dyDescent="0.25">
      <c r="B150" s="7">
        <v>1196</v>
      </c>
      <c r="C150" s="7">
        <v>1</v>
      </c>
    </row>
    <row r="151" spans="2:3" x14ac:dyDescent="0.25">
      <c r="B151" s="7">
        <v>550</v>
      </c>
      <c r="C151" s="7">
        <v>0</v>
      </c>
    </row>
    <row r="152" spans="2:3" x14ac:dyDescent="0.25">
      <c r="B152" s="7">
        <v>458</v>
      </c>
      <c r="C152" s="7">
        <v>0</v>
      </c>
    </row>
    <row r="153" spans="2:3" x14ac:dyDescent="0.25">
      <c r="B153" s="7">
        <v>1646</v>
      </c>
      <c r="C153" s="7">
        <v>1</v>
      </c>
    </row>
    <row r="154" spans="2:3" x14ac:dyDescent="0.25">
      <c r="B154" s="7">
        <v>607</v>
      </c>
      <c r="C154" s="7">
        <v>0</v>
      </c>
    </row>
    <row r="155" spans="2:3" x14ac:dyDescent="0.25">
      <c r="B155" s="7">
        <v>744</v>
      </c>
      <c r="C155" s="7">
        <v>0</v>
      </c>
    </row>
    <row r="156" spans="2:3" x14ac:dyDescent="0.25">
      <c r="B156" s="7">
        <v>2578</v>
      </c>
      <c r="C156" s="7">
        <v>1</v>
      </c>
    </row>
    <row r="157" spans="2:3" x14ac:dyDescent="0.25">
      <c r="B157" s="7">
        <v>589</v>
      </c>
      <c r="C157" s="7">
        <v>0</v>
      </c>
    </row>
    <row r="158" spans="2:3" x14ac:dyDescent="0.25">
      <c r="B158" s="7">
        <v>540</v>
      </c>
      <c r="C158" s="7">
        <v>0</v>
      </c>
    </row>
    <row r="159" spans="2:3" x14ac:dyDescent="0.25">
      <c r="B159" s="7">
        <v>340</v>
      </c>
      <c r="C159" s="7">
        <v>0</v>
      </c>
    </row>
    <row r="160" spans="2:3" x14ac:dyDescent="0.25">
      <c r="B160" s="7">
        <v>542</v>
      </c>
      <c r="C160" s="7">
        <v>0</v>
      </c>
    </row>
    <row r="161" spans="2:3" x14ac:dyDescent="0.25">
      <c r="B161" s="7">
        <v>335</v>
      </c>
      <c r="C161" s="7">
        <v>0</v>
      </c>
    </row>
    <row r="162" spans="2:3" x14ac:dyDescent="0.25">
      <c r="B162" s="7">
        <v>377</v>
      </c>
      <c r="C162" s="7">
        <v>0</v>
      </c>
    </row>
    <row r="163" spans="2:3" x14ac:dyDescent="0.25">
      <c r="B163" s="7">
        <v>263</v>
      </c>
      <c r="C163" s="7">
        <v>0</v>
      </c>
    </row>
    <row r="164" spans="2:3" x14ac:dyDescent="0.25">
      <c r="B164" s="7">
        <v>221</v>
      </c>
      <c r="C164" s="7">
        <v>0</v>
      </c>
    </row>
    <row r="165" spans="2:3" x14ac:dyDescent="0.25">
      <c r="B165" s="7">
        <v>1923</v>
      </c>
      <c r="C165" s="7">
        <v>1</v>
      </c>
    </row>
    <row r="166" spans="2:3" x14ac:dyDescent="0.25">
      <c r="B166" s="7">
        <v>565</v>
      </c>
      <c r="C166" s="7">
        <v>0</v>
      </c>
    </row>
    <row r="167" spans="2:3" x14ac:dyDescent="0.25">
      <c r="B167" s="7">
        <v>424</v>
      </c>
      <c r="C167" s="7">
        <v>0</v>
      </c>
    </row>
    <row r="168" spans="2:3" x14ac:dyDescent="0.25">
      <c r="B168" s="7">
        <v>401</v>
      </c>
      <c r="C168" s="7">
        <v>0</v>
      </c>
    </row>
    <row r="169" spans="2:3" x14ac:dyDescent="0.25">
      <c r="B169" s="7">
        <v>609</v>
      </c>
      <c r="C169" s="7">
        <v>0</v>
      </c>
    </row>
    <row r="170" spans="2:3" x14ac:dyDescent="0.25">
      <c r="B170" s="7">
        <v>468</v>
      </c>
      <c r="C170" s="7">
        <v>0</v>
      </c>
    </row>
    <row r="171" spans="2:3" x14ac:dyDescent="0.25">
      <c r="B171" s="7">
        <v>377</v>
      </c>
      <c r="C171" s="7">
        <v>0</v>
      </c>
    </row>
    <row r="172" spans="2:3" x14ac:dyDescent="0.25">
      <c r="B172" s="7">
        <v>571</v>
      </c>
      <c r="C172" s="7">
        <v>0</v>
      </c>
    </row>
    <row r="173" spans="2:3" x14ac:dyDescent="0.25">
      <c r="B173" s="7">
        <v>902</v>
      </c>
      <c r="C173" s="7">
        <v>1</v>
      </c>
    </row>
    <row r="174" spans="2:3" x14ac:dyDescent="0.25">
      <c r="B174" s="7">
        <v>1337</v>
      </c>
      <c r="C174" s="7">
        <v>1</v>
      </c>
    </row>
    <row r="175" spans="2:3" x14ac:dyDescent="0.25">
      <c r="B175" s="7">
        <v>305</v>
      </c>
      <c r="C175" s="7">
        <v>0</v>
      </c>
    </row>
    <row r="176" spans="2:3" x14ac:dyDescent="0.25">
      <c r="B176" s="7">
        <v>572</v>
      </c>
      <c r="C176" s="7">
        <v>0</v>
      </c>
    </row>
    <row r="177" spans="2:3" x14ac:dyDescent="0.25">
      <c r="B177" s="7">
        <v>365</v>
      </c>
      <c r="C177" s="7">
        <v>0</v>
      </c>
    </row>
    <row r="178" spans="2:3" x14ac:dyDescent="0.25">
      <c r="B178" s="7">
        <v>1365</v>
      </c>
      <c r="C178" s="7">
        <v>1</v>
      </c>
    </row>
    <row r="179" spans="2:3" x14ac:dyDescent="0.25">
      <c r="B179" s="7">
        <v>136</v>
      </c>
      <c r="C179" s="7">
        <v>0</v>
      </c>
    </row>
    <row r="180" spans="2:3" x14ac:dyDescent="0.25">
      <c r="B180" s="7">
        <v>474</v>
      </c>
      <c r="C180" s="7">
        <v>0</v>
      </c>
    </row>
    <row r="181" spans="2:3" x14ac:dyDescent="0.25">
      <c r="B181" s="7">
        <v>620</v>
      </c>
      <c r="C181" s="7">
        <v>0</v>
      </c>
    </row>
    <row r="182" spans="2:3" x14ac:dyDescent="0.25">
      <c r="B182" s="7">
        <v>634</v>
      </c>
      <c r="C182" s="7">
        <v>0</v>
      </c>
    </row>
    <row r="183" spans="2:3" x14ac:dyDescent="0.25">
      <c r="B183" s="7">
        <v>383</v>
      </c>
      <c r="C183" s="7">
        <v>0</v>
      </c>
    </row>
    <row r="184" spans="2:3" x14ac:dyDescent="0.25">
      <c r="B184" s="7">
        <v>1299</v>
      </c>
      <c r="C184" s="7">
        <v>1</v>
      </c>
    </row>
    <row r="185" spans="2:3" x14ac:dyDescent="0.25">
      <c r="B185" s="7">
        <v>164</v>
      </c>
      <c r="C185" s="7">
        <v>0</v>
      </c>
    </row>
    <row r="186" spans="2:3" x14ac:dyDescent="0.25">
      <c r="B186" s="7">
        <v>984</v>
      </c>
      <c r="C186" s="7">
        <v>1</v>
      </c>
    </row>
    <row r="187" spans="2:3" x14ac:dyDescent="0.25">
      <c r="B187" s="7">
        <v>388</v>
      </c>
      <c r="C187" s="7">
        <v>0</v>
      </c>
    </row>
    <row r="188" spans="2:3" x14ac:dyDescent="0.25">
      <c r="B188" s="7">
        <v>654</v>
      </c>
      <c r="C188" s="7">
        <v>0</v>
      </c>
    </row>
    <row r="189" spans="2:3" x14ac:dyDescent="0.25">
      <c r="B189" s="7">
        <v>494</v>
      </c>
      <c r="C189" s="7">
        <v>0</v>
      </c>
    </row>
    <row r="190" spans="2:3" x14ac:dyDescent="0.25">
      <c r="B190" s="7">
        <v>445</v>
      </c>
      <c r="C190" s="7">
        <v>0</v>
      </c>
    </row>
    <row r="191" spans="2:3" x14ac:dyDescent="0.25">
      <c r="B191" s="7">
        <v>605</v>
      </c>
      <c r="C191" s="7">
        <v>0</v>
      </c>
    </row>
    <row r="192" spans="2:3" x14ac:dyDescent="0.25">
      <c r="B192" s="7">
        <v>659</v>
      </c>
      <c r="C192" s="7">
        <v>0</v>
      </c>
    </row>
    <row r="193" spans="2:3" x14ac:dyDescent="0.25">
      <c r="B193" s="7">
        <v>879</v>
      </c>
      <c r="C193" s="7">
        <v>0</v>
      </c>
    </row>
    <row r="194" spans="2:3" x14ac:dyDescent="0.25">
      <c r="B194" s="7">
        <v>579</v>
      </c>
      <c r="C194" s="7">
        <v>0</v>
      </c>
    </row>
    <row r="195" spans="2:3" x14ac:dyDescent="0.25">
      <c r="B195" s="7">
        <v>741</v>
      </c>
      <c r="C195" s="7">
        <v>0</v>
      </c>
    </row>
    <row r="196" spans="2:3" x14ac:dyDescent="0.25">
      <c r="B196" s="7">
        <v>176</v>
      </c>
      <c r="C196" s="7">
        <v>0</v>
      </c>
    </row>
    <row r="197" spans="2:3" x14ac:dyDescent="0.25">
      <c r="B197" s="7">
        <v>916</v>
      </c>
      <c r="C197" s="7">
        <v>1</v>
      </c>
    </row>
    <row r="198" spans="2:3" x14ac:dyDescent="0.25">
      <c r="B198" s="7">
        <v>987</v>
      </c>
      <c r="C198" s="7">
        <v>1</v>
      </c>
    </row>
    <row r="199" spans="2:3" x14ac:dyDescent="0.25">
      <c r="B199" s="7">
        <v>890</v>
      </c>
      <c r="C199" s="7">
        <v>1</v>
      </c>
    </row>
    <row r="200" spans="2:3" x14ac:dyDescent="0.25">
      <c r="B200" s="7">
        <v>1710</v>
      </c>
      <c r="C200" s="7">
        <v>1</v>
      </c>
    </row>
    <row r="201" spans="2:3" x14ac:dyDescent="0.25">
      <c r="B201" s="7">
        <v>784</v>
      </c>
      <c r="C201" s="7">
        <v>1</v>
      </c>
    </row>
    <row r="202" spans="2:3" x14ac:dyDescent="0.25">
      <c r="B202" s="7">
        <v>1335</v>
      </c>
      <c r="C202" s="7">
        <v>1</v>
      </c>
    </row>
    <row r="203" spans="2:3" x14ac:dyDescent="0.25">
      <c r="B203" s="7">
        <v>375</v>
      </c>
      <c r="C203" s="7">
        <v>0</v>
      </c>
    </row>
    <row r="204" spans="2:3" x14ac:dyDescent="0.25">
      <c r="B204" s="7">
        <v>1327</v>
      </c>
      <c r="C204" s="7">
        <v>1</v>
      </c>
    </row>
    <row r="205" spans="2:3" x14ac:dyDescent="0.25">
      <c r="B205" s="7">
        <v>482</v>
      </c>
      <c r="C205" s="7">
        <v>0</v>
      </c>
    </row>
    <row r="206" spans="2:3" x14ac:dyDescent="0.25">
      <c r="B206" s="7">
        <v>857</v>
      </c>
      <c r="C206" s="7">
        <v>1</v>
      </c>
    </row>
    <row r="207" spans="2:3" x14ac:dyDescent="0.25">
      <c r="B207" s="7">
        <v>536</v>
      </c>
      <c r="C207" s="7">
        <v>0</v>
      </c>
    </row>
    <row r="208" spans="2:3" x14ac:dyDescent="0.25">
      <c r="B208" s="7">
        <v>1108</v>
      </c>
      <c r="C208" s="7">
        <v>1</v>
      </c>
    </row>
    <row r="209" spans="2:3" x14ac:dyDescent="0.25">
      <c r="B209" s="7">
        <v>263</v>
      </c>
      <c r="C209" s="7">
        <v>0</v>
      </c>
    </row>
    <row r="210" spans="2:3" x14ac:dyDescent="0.25">
      <c r="B210" s="7">
        <v>1578</v>
      </c>
      <c r="C210" s="7">
        <v>1</v>
      </c>
    </row>
    <row r="211" spans="2:3" x14ac:dyDescent="0.25">
      <c r="B211" s="7">
        <v>405</v>
      </c>
      <c r="C211" s="7">
        <v>0</v>
      </c>
    </row>
    <row r="212" spans="2:3" x14ac:dyDescent="0.25">
      <c r="B212" s="7">
        <v>1312</v>
      </c>
      <c r="C212" s="7">
        <v>1</v>
      </c>
    </row>
    <row r="213" spans="2:3" x14ac:dyDescent="0.25">
      <c r="B213" s="7">
        <v>1329</v>
      </c>
      <c r="C213" s="7">
        <v>1</v>
      </c>
    </row>
    <row r="214" spans="2:3" x14ac:dyDescent="0.25">
      <c r="B214" s="7">
        <v>902</v>
      </c>
      <c r="C214" s="7">
        <v>1</v>
      </c>
    </row>
    <row r="215" spans="2:3" x14ac:dyDescent="0.25">
      <c r="B215" s="7">
        <v>658</v>
      </c>
      <c r="C215" s="7">
        <v>0</v>
      </c>
    </row>
    <row r="216" spans="2:3" x14ac:dyDescent="0.25">
      <c r="B216" s="7">
        <v>690</v>
      </c>
      <c r="C216" s="7">
        <v>0</v>
      </c>
    </row>
    <row r="217" spans="2:3" x14ac:dyDescent="0.25">
      <c r="B217" s="7">
        <v>921</v>
      </c>
      <c r="C217" s="7">
        <v>1</v>
      </c>
    </row>
    <row r="218" spans="2:3" x14ac:dyDescent="0.25">
      <c r="B218" s="7">
        <v>239</v>
      </c>
      <c r="C218" s="7">
        <v>0</v>
      </c>
    </row>
    <row r="219" spans="2:3" x14ac:dyDescent="0.25">
      <c r="B219" s="7">
        <v>417</v>
      </c>
      <c r="C219" s="7">
        <v>0</v>
      </c>
    </row>
    <row r="220" spans="2:3" x14ac:dyDescent="0.25">
      <c r="B220" s="7">
        <v>1666</v>
      </c>
      <c r="C220" s="7">
        <v>1</v>
      </c>
    </row>
    <row r="221" spans="2:3" x14ac:dyDescent="0.25">
      <c r="B221" s="7">
        <v>348</v>
      </c>
      <c r="C221" s="7">
        <v>0</v>
      </c>
    </row>
    <row r="222" spans="2:3" x14ac:dyDescent="0.25">
      <c r="B222" s="7">
        <v>455</v>
      </c>
      <c r="C222" s="7">
        <v>0</v>
      </c>
    </row>
    <row r="223" spans="2:3" x14ac:dyDescent="0.25">
      <c r="B223" s="7">
        <v>556</v>
      </c>
      <c r="C223" s="7">
        <v>0</v>
      </c>
    </row>
    <row r="224" spans="2:3" x14ac:dyDescent="0.25">
      <c r="B224" s="7">
        <v>808</v>
      </c>
      <c r="C224" s="7">
        <v>1</v>
      </c>
    </row>
    <row r="225" spans="2:3" x14ac:dyDescent="0.25">
      <c r="B225" s="7">
        <v>1196</v>
      </c>
      <c r="C225" s="7">
        <v>1</v>
      </c>
    </row>
    <row r="226" spans="2:3" x14ac:dyDescent="0.25">
      <c r="B226" s="7">
        <v>238</v>
      </c>
      <c r="C226" s="7">
        <v>0</v>
      </c>
    </row>
    <row r="227" spans="2:3" x14ac:dyDescent="0.25">
      <c r="B227" s="7">
        <v>891</v>
      </c>
      <c r="C227" s="7">
        <v>0</v>
      </c>
    </row>
    <row r="228" spans="2:3" x14ac:dyDescent="0.25">
      <c r="B228" s="7">
        <v>552</v>
      </c>
      <c r="C228" s="7">
        <v>0</v>
      </c>
    </row>
    <row r="229" spans="2:3" x14ac:dyDescent="0.25">
      <c r="B229" s="7">
        <v>410</v>
      </c>
      <c r="C229" s="7">
        <v>0</v>
      </c>
    </row>
    <row r="230" spans="2:3" x14ac:dyDescent="0.25">
      <c r="B230" s="7">
        <v>324</v>
      </c>
      <c r="C230" s="7">
        <v>0</v>
      </c>
    </row>
    <row r="231" spans="2:3" x14ac:dyDescent="0.25">
      <c r="B231" s="7">
        <v>736</v>
      </c>
      <c r="C231" s="7">
        <v>0</v>
      </c>
    </row>
    <row r="232" spans="2:3" x14ac:dyDescent="0.25">
      <c r="B232" s="7">
        <v>715</v>
      </c>
      <c r="C232" s="7">
        <v>1</v>
      </c>
    </row>
    <row r="233" spans="2:3" x14ac:dyDescent="0.25">
      <c r="B233" s="7">
        <v>391</v>
      </c>
      <c r="C233" s="7">
        <v>0</v>
      </c>
    </row>
    <row r="234" spans="2:3" x14ac:dyDescent="0.25">
      <c r="B234" s="7">
        <v>716</v>
      </c>
      <c r="C234" s="7">
        <v>1</v>
      </c>
    </row>
    <row r="235" spans="2:3" x14ac:dyDescent="0.25">
      <c r="B235" s="7">
        <v>609</v>
      </c>
      <c r="C235" s="7">
        <v>0</v>
      </c>
    </row>
    <row r="236" spans="2:3" x14ac:dyDescent="0.25">
      <c r="B236" s="7">
        <v>162</v>
      </c>
      <c r="C236" s="7">
        <v>0</v>
      </c>
    </row>
    <row r="237" spans="2:3" x14ac:dyDescent="0.25">
      <c r="B237" s="7">
        <v>368</v>
      </c>
      <c r="C237" s="7">
        <v>0</v>
      </c>
    </row>
    <row r="238" spans="2:3" x14ac:dyDescent="0.25">
      <c r="B238" s="7">
        <v>625</v>
      </c>
      <c r="C238" s="7">
        <v>0</v>
      </c>
    </row>
    <row r="239" spans="2:3" x14ac:dyDescent="0.25">
      <c r="B239" s="7">
        <v>1500</v>
      </c>
      <c r="C239" s="7">
        <v>1</v>
      </c>
    </row>
    <row r="240" spans="2:3" x14ac:dyDescent="0.25">
      <c r="B240" s="7">
        <v>1404</v>
      </c>
      <c r="C240" s="7">
        <v>1</v>
      </c>
    </row>
    <row r="241" spans="2:3" x14ac:dyDescent="0.25">
      <c r="B241" s="7">
        <v>1813</v>
      </c>
      <c r="C241" s="7">
        <v>1</v>
      </c>
    </row>
    <row r="242" spans="2:3" x14ac:dyDescent="0.25">
      <c r="B242" s="7">
        <v>635</v>
      </c>
      <c r="C242" s="7">
        <v>0</v>
      </c>
    </row>
    <row r="243" spans="2:3" x14ac:dyDescent="0.25">
      <c r="B243" s="7">
        <v>353</v>
      </c>
      <c r="C243" s="7">
        <v>0</v>
      </c>
    </row>
    <row r="244" spans="2:3" x14ac:dyDescent="0.25">
      <c r="B244" s="7">
        <v>699</v>
      </c>
      <c r="C244" s="7">
        <v>0</v>
      </c>
    </row>
    <row r="245" spans="2:3" x14ac:dyDescent="0.25">
      <c r="B245" s="7">
        <v>652</v>
      </c>
      <c r="C245" s="7">
        <v>0</v>
      </c>
    </row>
    <row r="246" spans="2:3" x14ac:dyDescent="0.25">
      <c r="B246" s="7">
        <v>560</v>
      </c>
      <c r="C246" s="7">
        <v>0</v>
      </c>
    </row>
    <row r="247" spans="2:3" x14ac:dyDescent="0.25">
      <c r="B247" s="7">
        <v>663</v>
      </c>
      <c r="C247" s="7">
        <v>0</v>
      </c>
    </row>
    <row r="248" spans="2:3" x14ac:dyDescent="0.25">
      <c r="B248" s="7">
        <v>569</v>
      </c>
      <c r="C248" s="7">
        <v>0</v>
      </c>
    </row>
    <row r="249" spans="2:3" x14ac:dyDescent="0.25">
      <c r="B249" s="7">
        <v>362</v>
      </c>
      <c r="C249" s="7">
        <v>0</v>
      </c>
    </row>
    <row r="250" spans="2:3" x14ac:dyDescent="0.25">
      <c r="B250" s="7">
        <v>687</v>
      </c>
      <c r="C250" s="7">
        <v>0</v>
      </c>
    </row>
    <row r="251" spans="2:3" x14ac:dyDescent="0.25">
      <c r="B251" s="7">
        <v>1038</v>
      </c>
      <c r="C251" s="7">
        <v>1</v>
      </c>
    </row>
    <row r="252" spans="2:3" x14ac:dyDescent="0.25">
      <c r="B252" s="7">
        <v>692</v>
      </c>
      <c r="C252" s="7">
        <v>0</v>
      </c>
    </row>
    <row r="253" spans="2:3" x14ac:dyDescent="0.25">
      <c r="B253" s="7">
        <v>823</v>
      </c>
      <c r="C253" s="7">
        <v>1</v>
      </c>
    </row>
    <row r="254" spans="2:3" x14ac:dyDescent="0.25">
      <c r="B254" s="7">
        <v>734</v>
      </c>
      <c r="C254" s="7">
        <v>0</v>
      </c>
    </row>
    <row r="255" spans="2:3" x14ac:dyDescent="0.25">
      <c r="B255" s="7">
        <v>290</v>
      </c>
      <c r="C255" s="7">
        <v>0</v>
      </c>
    </row>
    <row r="256" spans="2:3" x14ac:dyDescent="0.25">
      <c r="B256" s="7">
        <v>867</v>
      </c>
      <c r="C256" s="7">
        <v>1</v>
      </c>
    </row>
    <row r="257" spans="2:3" x14ac:dyDescent="0.25">
      <c r="B257" s="7">
        <v>220</v>
      </c>
      <c r="C257" s="7">
        <v>0</v>
      </c>
    </row>
    <row r="258" spans="2:3" x14ac:dyDescent="0.25">
      <c r="B258" s="7">
        <v>718</v>
      </c>
      <c r="C258" s="7">
        <v>0</v>
      </c>
    </row>
    <row r="259" spans="2:3" x14ac:dyDescent="0.25">
      <c r="B259" s="7">
        <v>559</v>
      </c>
      <c r="C259" s="7">
        <v>0</v>
      </c>
    </row>
    <row r="260" spans="2:3" x14ac:dyDescent="0.25">
      <c r="B260" s="7">
        <v>845</v>
      </c>
      <c r="C260" s="7">
        <v>1</v>
      </c>
    </row>
    <row r="261" spans="2:3" x14ac:dyDescent="0.25">
      <c r="B261" s="7">
        <v>278</v>
      </c>
      <c r="C261" s="7">
        <v>0</v>
      </c>
    </row>
    <row r="262" spans="2:3" x14ac:dyDescent="0.25">
      <c r="B262" s="7">
        <v>335</v>
      </c>
      <c r="C262" s="7">
        <v>0</v>
      </c>
    </row>
    <row r="263" spans="2:3" x14ac:dyDescent="0.25">
      <c r="B263" s="7">
        <v>1732</v>
      </c>
      <c r="C263" s="7">
        <v>1</v>
      </c>
    </row>
    <row r="264" spans="2:3" x14ac:dyDescent="0.25">
      <c r="B264" s="7">
        <v>633</v>
      </c>
      <c r="C264" s="7">
        <v>0</v>
      </c>
    </row>
    <row r="265" spans="2:3" x14ac:dyDescent="0.25">
      <c r="B265" s="7">
        <v>393</v>
      </c>
      <c r="C265" s="7">
        <v>0</v>
      </c>
    </row>
    <row r="266" spans="2:3" x14ac:dyDescent="0.25">
      <c r="B266" s="7">
        <v>229</v>
      </c>
      <c r="C266" s="7">
        <v>0</v>
      </c>
    </row>
    <row r="267" spans="2:3" x14ac:dyDescent="0.25">
      <c r="B267" s="7">
        <v>158</v>
      </c>
      <c r="C267" s="7">
        <v>0</v>
      </c>
    </row>
    <row r="268" spans="2:3" x14ac:dyDescent="0.25">
      <c r="B268" s="7">
        <v>1651</v>
      </c>
      <c r="C268" s="7">
        <v>1</v>
      </c>
    </row>
    <row r="269" spans="2:3" x14ac:dyDescent="0.25">
      <c r="B269" s="7">
        <v>665</v>
      </c>
      <c r="C269" s="7">
        <v>1</v>
      </c>
    </row>
    <row r="270" spans="2:3" x14ac:dyDescent="0.25">
      <c r="B270" s="7">
        <v>664</v>
      </c>
      <c r="C270" s="7">
        <v>0</v>
      </c>
    </row>
    <row r="271" spans="2:3" x14ac:dyDescent="0.25">
      <c r="B271" s="7">
        <v>625</v>
      </c>
      <c r="C271" s="7">
        <v>0</v>
      </c>
    </row>
    <row r="272" spans="2:3" x14ac:dyDescent="0.25">
      <c r="B272" s="7">
        <v>1359</v>
      </c>
      <c r="C272" s="7">
        <v>1</v>
      </c>
    </row>
    <row r="273" spans="2:3" x14ac:dyDescent="0.25">
      <c r="B273" s="7">
        <v>246</v>
      </c>
      <c r="C273" s="7">
        <v>0</v>
      </c>
    </row>
    <row r="274" spans="2:3" x14ac:dyDescent="0.25">
      <c r="B274" s="7">
        <v>310</v>
      </c>
      <c r="C274" s="7">
        <v>0</v>
      </c>
    </row>
    <row r="275" spans="2:3" x14ac:dyDescent="0.25">
      <c r="B275" s="7">
        <v>1140</v>
      </c>
      <c r="C275" s="7">
        <v>1</v>
      </c>
    </row>
    <row r="276" spans="2:3" x14ac:dyDescent="0.25">
      <c r="B276" s="7">
        <v>961</v>
      </c>
      <c r="C276" s="7">
        <v>1</v>
      </c>
    </row>
    <row r="277" spans="2:3" x14ac:dyDescent="0.25">
      <c r="B277" s="7">
        <v>747</v>
      </c>
      <c r="C277" s="7">
        <v>1</v>
      </c>
    </row>
    <row r="278" spans="2:3" x14ac:dyDescent="0.25">
      <c r="B278" s="7">
        <v>1104</v>
      </c>
      <c r="C278" s="7">
        <v>1</v>
      </c>
    </row>
    <row r="279" spans="2:3" x14ac:dyDescent="0.25">
      <c r="B279" s="7">
        <v>536</v>
      </c>
      <c r="C279" s="7">
        <v>0</v>
      </c>
    </row>
    <row r="280" spans="2:3" x14ac:dyDescent="0.25">
      <c r="B280" s="7">
        <v>962</v>
      </c>
      <c r="C280" s="7">
        <v>0</v>
      </c>
    </row>
    <row r="281" spans="2:3" x14ac:dyDescent="0.25">
      <c r="B281" s="7">
        <v>220</v>
      </c>
      <c r="C281" s="7">
        <v>0</v>
      </c>
    </row>
    <row r="282" spans="2:3" x14ac:dyDescent="0.25">
      <c r="B282" s="7">
        <v>795</v>
      </c>
      <c r="C282" s="7">
        <v>0</v>
      </c>
    </row>
    <row r="283" spans="2:3" x14ac:dyDescent="0.25">
      <c r="B283" s="7">
        <v>1213</v>
      </c>
      <c r="C283" s="7">
        <v>1</v>
      </c>
    </row>
    <row r="284" spans="2:3" x14ac:dyDescent="0.25">
      <c r="B284" s="7">
        <v>943</v>
      </c>
      <c r="C284" s="7">
        <v>0</v>
      </c>
    </row>
    <row r="285" spans="2:3" x14ac:dyDescent="0.25">
      <c r="B285" s="7">
        <v>548</v>
      </c>
      <c r="C285" s="7">
        <v>0</v>
      </c>
    </row>
    <row r="286" spans="2:3" x14ac:dyDescent="0.25">
      <c r="B286" s="7">
        <v>352</v>
      </c>
      <c r="C286" s="7">
        <v>0</v>
      </c>
    </row>
    <row r="287" spans="2:3" x14ac:dyDescent="0.25">
      <c r="B287" s="7">
        <v>295</v>
      </c>
      <c r="C287" s="7">
        <v>0</v>
      </c>
    </row>
    <row r="288" spans="2:3" x14ac:dyDescent="0.25">
      <c r="B288" s="7">
        <v>633</v>
      </c>
      <c r="C288" s="7">
        <v>0</v>
      </c>
    </row>
    <row r="289" spans="2:3" x14ac:dyDescent="0.25">
      <c r="B289" s="7">
        <v>1380</v>
      </c>
      <c r="C289" s="7">
        <v>1</v>
      </c>
    </row>
    <row r="290" spans="2:3" x14ac:dyDescent="0.25">
      <c r="B290" s="7">
        <v>1268</v>
      </c>
      <c r="C290" s="7">
        <v>1</v>
      </c>
    </row>
    <row r="291" spans="2:3" x14ac:dyDescent="0.25">
      <c r="B291" s="7">
        <v>1567</v>
      </c>
      <c r="C291" s="7">
        <v>1</v>
      </c>
    </row>
    <row r="292" spans="2:3" x14ac:dyDescent="0.25">
      <c r="B292" s="7">
        <v>659</v>
      </c>
      <c r="C292" s="7">
        <v>0</v>
      </c>
    </row>
    <row r="293" spans="2:3" x14ac:dyDescent="0.25">
      <c r="B293" s="7">
        <v>191</v>
      </c>
      <c r="C293" s="7">
        <v>0</v>
      </c>
    </row>
    <row r="294" spans="2:3" x14ac:dyDescent="0.25">
      <c r="B294" s="7">
        <v>462</v>
      </c>
      <c r="C294" s="7">
        <v>0</v>
      </c>
    </row>
    <row r="295" spans="2:3" x14ac:dyDescent="0.25">
      <c r="B295" s="7">
        <v>613</v>
      </c>
      <c r="C295" s="7">
        <v>0</v>
      </c>
    </row>
    <row r="296" spans="2:3" x14ac:dyDescent="0.25">
      <c r="B296" s="7">
        <v>382</v>
      </c>
      <c r="C296" s="7">
        <v>0</v>
      </c>
    </row>
    <row r="297" spans="2:3" x14ac:dyDescent="0.25">
      <c r="B297" s="7">
        <v>989</v>
      </c>
      <c r="C297" s="7">
        <v>1</v>
      </c>
    </row>
    <row r="298" spans="2:3" x14ac:dyDescent="0.25">
      <c r="B298" s="7">
        <v>336</v>
      </c>
      <c r="C298" s="7">
        <v>0</v>
      </c>
    </row>
    <row r="299" spans="2:3" x14ac:dyDescent="0.25">
      <c r="B299" s="7">
        <v>700</v>
      </c>
      <c r="C299" s="7">
        <v>0</v>
      </c>
    </row>
    <row r="300" spans="2:3" x14ac:dyDescent="0.25">
      <c r="B300" s="7">
        <v>1045</v>
      </c>
      <c r="C300" s="7">
        <v>1</v>
      </c>
    </row>
    <row r="301" spans="2:3" x14ac:dyDescent="0.25">
      <c r="B301" s="7">
        <v>1452</v>
      </c>
      <c r="C301" s="7">
        <v>1</v>
      </c>
    </row>
    <row r="302" spans="2:3" x14ac:dyDescent="0.25">
      <c r="B302" s="7">
        <v>516</v>
      </c>
      <c r="C302" s="7">
        <v>0</v>
      </c>
    </row>
    <row r="303" spans="2:3" x14ac:dyDescent="0.25">
      <c r="B303" s="7">
        <v>615</v>
      </c>
      <c r="C303" s="7">
        <v>0</v>
      </c>
    </row>
    <row r="304" spans="2:3" x14ac:dyDescent="0.25">
      <c r="B304" s="7">
        <v>1108</v>
      </c>
      <c r="C304" s="7">
        <v>1</v>
      </c>
    </row>
    <row r="305" spans="2:3" x14ac:dyDescent="0.25">
      <c r="B305" s="7">
        <v>613</v>
      </c>
      <c r="C305" s="7">
        <v>0</v>
      </c>
    </row>
    <row r="306" spans="2:3" x14ac:dyDescent="0.25">
      <c r="B306" s="7">
        <v>935</v>
      </c>
      <c r="C306" s="7">
        <v>1</v>
      </c>
    </row>
    <row r="307" spans="2:3" x14ac:dyDescent="0.25">
      <c r="B307" s="7">
        <v>734</v>
      </c>
      <c r="C307" s="7">
        <v>0</v>
      </c>
    </row>
    <row r="308" spans="2:3" x14ac:dyDescent="0.25">
      <c r="B308" s="7">
        <v>76</v>
      </c>
      <c r="C308" s="7">
        <v>0</v>
      </c>
    </row>
    <row r="309" spans="2:3" x14ac:dyDescent="0.25">
      <c r="B309" s="7">
        <v>470</v>
      </c>
      <c r="C309" s="7">
        <v>0</v>
      </c>
    </row>
    <row r="310" spans="2:3" x14ac:dyDescent="0.25">
      <c r="B310" s="7">
        <v>1198</v>
      </c>
      <c r="C310" s="7">
        <v>1</v>
      </c>
    </row>
    <row r="311" spans="2:3" x14ac:dyDescent="0.25">
      <c r="B311" s="7">
        <v>561</v>
      </c>
      <c r="C311" s="7">
        <v>0</v>
      </c>
    </row>
    <row r="312" spans="2:3" x14ac:dyDescent="0.25">
      <c r="B312" s="7">
        <v>1053</v>
      </c>
      <c r="C312" s="7">
        <v>1</v>
      </c>
    </row>
    <row r="313" spans="2:3" x14ac:dyDescent="0.25">
      <c r="B313" s="7">
        <v>902</v>
      </c>
      <c r="C313" s="7">
        <v>0</v>
      </c>
    </row>
    <row r="314" spans="2:3" x14ac:dyDescent="0.25">
      <c r="B314" s="7">
        <v>828</v>
      </c>
      <c r="C314" s="7">
        <v>1</v>
      </c>
    </row>
    <row r="315" spans="2:3" x14ac:dyDescent="0.25">
      <c r="B315" s="7">
        <v>819</v>
      </c>
      <c r="C315" s="7">
        <v>1</v>
      </c>
    </row>
    <row r="316" spans="2:3" x14ac:dyDescent="0.25">
      <c r="B316" s="7">
        <v>1726</v>
      </c>
      <c r="C316" s="7">
        <v>1</v>
      </c>
    </row>
    <row r="317" spans="2:3" x14ac:dyDescent="0.25">
      <c r="B317" s="7">
        <v>1178</v>
      </c>
      <c r="C317" s="7">
        <v>1</v>
      </c>
    </row>
    <row r="318" spans="2:3" x14ac:dyDescent="0.25">
      <c r="B318" s="7">
        <v>419</v>
      </c>
      <c r="C318" s="7">
        <v>0</v>
      </c>
    </row>
    <row r="319" spans="2:3" x14ac:dyDescent="0.25">
      <c r="B319" s="7">
        <v>447</v>
      </c>
      <c r="C319" s="7">
        <v>0</v>
      </c>
    </row>
    <row r="320" spans="2:3" x14ac:dyDescent="0.25">
      <c r="B320" s="7">
        <v>904</v>
      </c>
      <c r="C320" s="7">
        <v>1</v>
      </c>
    </row>
    <row r="321" spans="2:3" x14ac:dyDescent="0.25">
      <c r="B321" s="7">
        <v>573</v>
      </c>
      <c r="C321" s="7">
        <v>0</v>
      </c>
    </row>
    <row r="322" spans="2:3" x14ac:dyDescent="0.25">
      <c r="B322" s="7">
        <v>830</v>
      </c>
      <c r="C322" s="7">
        <v>0</v>
      </c>
    </row>
    <row r="323" spans="2:3" x14ac:dyDescent="0.25">
      <c r="B323" s="7">
        <v>497</v>
      </c>
      <c r="C323" s="7">
        <v>0</v>
      </c>
    </row>
    <row r="324" spans="2:3" x14ac:dyDescent="0.25">
      <c r="B324" s="7">
        <v>1182</v>
      </c>
      <c r="C324" s="7">
        <v>1</v>
      </c>
    </row>
    <row r="325" spans="2:3" x14ac:dyDescent="0.25">
      <c r="B325" s="7">
        <v>1194</v>
      </c>
      <c r="C325" s="7">
        <v>1</v>
      </c>
    </row>
    <row r="326" spans="2:3" x14ac:dyDescent="0.25">
      <c r="B326" s="7">
        <v>940</v>
      </c>
      <c r="C326" s="7">
        <v>1</v>
      </c>
    </row>
    <row r="327" spans="2:3" x14ac:dyDescent="0.25">
      <c r="B327" s="7">
        <v>466</v>
      </c>
      <c r="C327" s="7">
        <v>0</v>
      </c>
    </row>
    <row r="328" spans="2:3" x14ac:dyDescent="0.25">
      <c r="B328" s="7">
        <v>273</v>
      </c>
      <c r="C328" s="7">
        <v>0</v>
      </c>
    </row>
    <row r="329" spans="2:3" x14ac:dyDescent="0.25">
      <c r="B329" s="7">
        <v>687</v>
      </c>
      <c r="C329" s="7">
        <v>0</v>
      </c>
    </row>
    <row r="330" spans="2:3" x14ac:dyDescent="0.25">
      <c r="B330" s="7">
        <v>398</v>
      </c>
      <c r="C330" s="7">
        <v>0</v>
      </c>
    </row>
    <row r="331" spans="2:3" x14ac:dyDescent="0.25">
      <c r="B331" s="7">
        <v>373</v>
      </c>
      <c r="C331" s="7">
        <v>0</v>
      </c>
    </row>
    <row r="332" spans="2:3" x14ac:dyDescent="0.25">
      <c r="B332" s="7">
        <v>817</v>
      </c>
      <c r="C332" s="7">
        <v>0</v>
      </c>
    </row>
    <row r="333" spans="2:3" x14ac:dyDescent="0.25">
      <c r="B333" s="7">
        <v>529</v>
      </c>
      <c r="C333" s="7">
        <v>0</v>
      </c>
    </row>
    <row r="334" spans="2:3" x14ac:dyDescent="0.25">
      <c r="B334" s="7">
        <v>425</v>
      </c>
      <c r="C334" s="7">
        <v>0</v>
      </c>
    </row>
    <row r="335" spans="2:3" x14ac:dyDescent="0.25">
      <c r="B335" s="7">
        <v>795</v>
      </c>
      <c r="C335" s="7">
        <v>0</v>
      </c>
    </row>
    <row r="336" spans="2:3" x14ac:dyDescent="0.25">
      <c r="B336" s="7">
        <v>329</v>
      </c>
      <c r="C336" s="7">
        <v>0</v>
      </c>
    </row>
    <row r="337" spans="2:3" x14ac:dyDescent="0.25">
      <c r="B337" s="7">
        <v>991</v>
      </c>
      <c r="C337" s="7">
        <v>1</v>
      </c>
    </row>
    <row r="338" spans="2:3" x14ac:dyDescent="0.25">
      <c r="B338" s="7">
        <v>603</v>
      </c>
      <c r="C338" s="7">
        <v>0</v>
      </c>
    </row>
    <row r="339" spans="2:3" x14ac:dyDescent="0.25">
      <c r="B339" s="7">
        <v>1389</v>
      </c>
      <c r="C339" s="7">
        <v>1</v>
      </c>
    </row>
    <row r="340" spans="2:3" x14ac:dyDescent="0.25">
      <c r="B340" s="7">
        <v>379</v>
      </c>
      <c r="C340" s="7">
        <v>0</v>
      </c>
    </row>
    <row r="341" spans="2:3" x14ac:dyDescent="0.25">
      <c r="B341" s="7">
        <v>471</v>
      </c>
      <c r="C341" s="7">
        <v>0</v>
      </c>
    </row>
    <row r="342" spans="2:3" x14ac:dyDescent="0.25">
      <c r="B342" s="7">
        <v>553</v>
      </c>
      <c r="C342" s="7">
        <v>0</v>
      </c>
    </row>
    <row r="343" spans="2:3" x14ac:dyDescent="0.25">
      <c r="B343" s="7">
        <v>1397</v>
      </c>
      <c r="C343" s="7">
        <v>1</v>
      </c>
    </row>
    <row r="344" spans="2:3" x14ac:dyDescent="0.25">
      <c r="B344" s="7">
        <v>958</v>
      </c>
      <c r="C344" s="7">
        <v>1</v>
      </c>
    </row>
    <row r="345" spans="2:3" x14ac:dyDescent="0.25">
      <c r="B345" s="7">
        <v>236</v>
      </c>
      <c r="C345" s="7">
        <v>0</v>
      </c>
    </row>
    <row r="346" spans="2:3" x14ac:dyDescent="0.25">
      <c r="B346" s="7">
        <v>403</v>
      </c>
      <c r="C346" s="7">
        <v>0</v>
      </c>
    </row>
    <row r="347" spans="2:3" x14ac:dyDescent="0.25">
      <c r="B347" s="7">
        <v>1185</v>
      </c>
      <c r="C347" s="7">
        <v>1</v>
      </c>
    </row>
    <row r="348" spans="2:3" x14ac:dyDescent="0.25">
      <c r="B348" s="7">
        <v>740</v>
      </c>
      <c r="C348" s="7">
        <v>0</v>
      </c>
    </row>
    <row r="349" spans="2:3" x14ac:dyDescent="0.25">
      <c r="B349" s="7">
        <v>493</v>
      </c>
      <c r="C349" s="7">
        <v>0</v>
      </c>
    </row>
    <row r="350" spans="2:3" x14ac:dyDescent="0.25">
      <c r="B350" s="7">
        <v>614</v>
      </c>
      <c r="C350" s="7">
        <v>1</v>
      </c>
    </row>
    <row r="351" spans="2:3" x14ac:dyDescent="0.25">
      <c r="B351" s="7">
        <v>658</v>
      </c>
      <c r="C351" s="7">
        <v>0</v>
      </c>
    </row>
    <row r="352" spans="2:3" x14ac:dyDescent="0.25">
      <c r="B352" s="7">
        <v>498</v>
      </c>
      <c r="C352" s="7">
        <v>0</v>
      </c>
    </row>
    <row r="353" spans="2:3" x14ac:dyDescent="0.25">
      <c r="B353" s="7">
        <v>293</v>
      </c>
      <c r="C353" s="7">
        <v>0</v>
      </c>
    </row>
    <row r="354" spans="2:3" x14ac:dyDescent="0.25">
      <c r="B354" s="7">
        <v>442</v>
      </c>
      <c r="C354" s="7">
        <v>0</v>
      </c>
    </row>
    <row r="355" spans="2:3" x14ac:dyDescent="0.25">
      <c r="B355" s="7">
        <v>306</v>
      </c>
      <c r="C355" s="7">
        <v>0</v>
      </c>
    </row>
    <row r="356" spans="2:3" x14ac:dyDescent="0.25">
      <c r="B356" s="7">
        <v>518</v>
      </c>
      <c r="C356" s="7">
        <v>0</v>
      </c>
    </row>
    <row r="357" spans="2:3" x14ac:dyDescent="0.25">
      <c r="B357" s="7">
        <v>382</v>
      </c>
      <c r="C357" s="7">
        <v>0</v>
      </c>
    </row>
    <row r="358" spans="2:3" x14ac:dyDescent="0.25">
      <c r="B358" s="7">
        <v>554</v>
      </c>
      <c r="C358" s="7">
        <v>0</v>
      </c>
    </row>
    <row r="359" spans="2:3" x14ac:dyDescent="0.25">
      <c r="B359" s="7">
        <v>793</v>
      </c>
      <c r="C359" s="7">
        <v>0</v>
      </c>
    </row>
    <row r="360" spans="2:3" x14ac:dyDescent="0.25">
      <c r="B360" s="7">
        <v>1262</v>
      </c>
      <c r="C360" s="7">
        <v>1</v>
      </c>
    </row>
    <row r="361" spans="2:3" x14ac:dyDescent="0.25">
      <c r="B361" s="7">
        <v>446</v>
      </c>
      <c r="C361" s="7">
        <v>0</v>
      </c>
    </row>
    <row r="362" spans="2:3" x14ac:dyDescent="0.25">
      <c r="B362" s="7">
        <v>519</v>
      </c>
      <c r="C362" s="7">
        <v>0</v>
      </c>
    </row>
    <row r="363" spans="2:3" x14ac:dyDescent="0.25">
      <c r="B363" s="7">
        <v>862</v>
      </c>
      <c r="C363" s="7">
        <v>0</v>
      </c>
    </row>
    <row r="364" spans="2:3" x14ac:dyDescent="0.25">
      <c r="B364" s="7">
        <v>327</v>
      </c>
      <c r="C364" s="7">
        <v>0</v>
      </c>
    </row>
    <row r="365" spans="2:3" x14ac:dyDescent="0.25">
      <c r="B365" s="7">
        <v>1755</v>
      </c>
      <c r="C365" s="7">
        <v>1</v>
      </c>
    </row>
    <row r="366" spans="2:3" x14ac:dyDescent="0.25">
      <c r="B366" s="7">
        <v>361</v>
      </c>
      <c r="C366" s="7">
        <v>0</v>
      </c>
    </row>
    <row r="367" spans="2:3" x14ac:dyDescent="0.25">
      <c r="B367" s="7">
        <v>490</v>
      </c>
      <c r="C367" s="7">
        <v>0</v>
      </c>
    </row>
    <row r="368" spans="2:3" x14ac:dyDescent="0.25">
      <c r="B368" s="7">
        <v>601</v>
      </c>
      <c r="C368" s="7">
        <v>0</v>
      </c>
    </row>
    <row r="369" spans="2:3" x14ac:dyDescent="0.25">
      <c r="B369" s="7">
        <v>239</v>
      </c>
      <c r="C369" s="7">
        <v>0</v>
      </c>
    </row>
    <row r="370" spans="2:3" x14ac:dyDescent="0.25">
      <c r="B370" s="7">
        <v>421</v>
      </c>
      <c r="C370" s="7">
        <v>0</v>
      </c>
    </row>
    <row r="371" spans="2:3" x14ac:dyDescent="0.25">
      <c r="B371" s="7">
        <v>521</v>
      </c>
      <c r="C371" s="7">
        <v>0</v>
      </c>
    </row>
    <row r="372" spans="2:3" x14ac:dyDescent="0.25">
      <c r="B372" s="7">
        <v>445</v>
      </c>
      <c r="C372" s="7">
        <v>0</v>
      </c>
    </row>
    <row r="373" spans="2:3" x14ac:dyDescent="0.25">
      <c r="B373" s="7">
        <v>717</v>
      </c>
      <c r="C373" s="7">
        <v>0</v>
      </c>
    </row>
    <row r="374" spans="2:3" x14ac:dyDescent="0.25">
      <c r="B374" s="7">
        <v>612</v>
      </c>
      <c r="C374" s="7">
        <v>0</v>
      </c>
    </row>
    <row r="375" spans="2:3" x14ac:dyDescent="0.25">
      <c r="B375" s="7">
        <v>664</v>
      </c>
      <c r="C375" s="7">
        <v>0</v>
      </c>
    </row>
    <row r="376" spans="2:3" x14ac:dyDescent="0.25">
      <c r="B376" s="7">
        <v>293</v>
      </c>
      <c r="C376" s="7">
        <v>0</v>
      </c>
    </row>
    <row r="377" spans="2:3" x14ac:dyDescent="0.25">
      <c r="B377" s="7">
        <v>1253</v>
      </c>
      <c r="C377" s="7">
        <v>1</v>
      </c>
    </row>
    <row r="378" spans="2:3" x14ac:dyDescent="0.25">
      <c r="B378" s="7">
        <v>240</v>
      </c>
      <c r="C378" s="7">
        <v>0</v>
      </c>
    </row>
    <row r="379" spans="2:3" x14ac:dyDescent="0.25">
      <c r="B379" s="7">
        <v>452</v>
      </c>
      <c r="C379" s="7">
        <v>0</v>
      </c>
    </row>
    <row r="380" spans="2:3" x14ac:dyDescent="0.25">
      <c r="B380" s="7">
        <v>612</v>
      </c>
      <c r="C380" s="7">
        <v>0</v>
      </c>
    </row>
    <row r="381" spans="2:3" x14ac:dyDescent="0.25">
      <c r="B381" s="7">
        <v>841</v>
      </c>
      <c r="C381" s="7">
        <v>1</v>
      </c>
    </row>
    <row r="382" spans="2:3" x14ac:dyDescent="0.25">
      <c r="B382" s="7">
        <v>1261</v>
      </c>
      <c r="C382" s="7">
        <v>1</v>
      </c>
    </row>
    <row r="383" spans="2:3" x14ac:dyDescent="0.25">
      <c r="B383" s="7">
        <v>749</v>
      </c>
      <c r="C383" s="7">
        <v>0</v>
      </c>
    </row>
    <row r="384" spans="2:3" x14ac:dyDescent="0.25">
      <c r="B384" s="7">
        <v>567</v>
      </c>
      <c r="C384" s="7">
        <v>0</v>
      </c>
    </row>
    <row r="385" spans="2:3" x14ac:dyDescent="0.25">
      <c r="B385" s="7">
        <v>1049</v>
      </c>
      <c r="C385" s="7">
        <v>1</v>
      </c>
    </row>
    <row r="386" spans="2:3" x14ac:dyDescent="0.25">
      <c r="B386" s="7">
        <v>947</v>
      </c>
      <c r="C386" s="7">
        <v>1</v>
      </c>
    </row>
    <row r="387" spans="2:3" x14ac:dyDescent="0.25">
      <c r="B387" s="7">
        <v>801</v>
      </c>
      <c r="C387" s="7">
        <v>1</v>
      </c>
    </row>
    <row r="388" spans="2:3" x14ac:dyDescent="0.25">
      <c r="B388" s="7">
        <v>259</v>
      </c>
      <c r="C388" s="7">
        <v>0</v>
      </c>
    </row>
    <row r="389" spans="2:3" x14ac:dyDescent="0.25">
      <c r="B389" s="7">
        <v>1730</v>
      </c>
      <c r="C389" s="7">
        <v>1</v>
      </c>
    </row>
    <row r="390" spans="2:3" x14ac:dyDescent="0.25">
      <c r="B390" s="7">
        <v>462</v>
      </c>
      <c r="C390" s="7">
        <v>0</v>
      </c>
    </row>
    <row r="391" spans="2:3" x14ac:dyDescent="0.25">
      <c r="B391" s="7">
        <v>704</v>
      </c>
      <c r="C391" s="7">
        <v>0</v>
      </c>
    </row>
    <row r="392" spans="2:3" x14ac:dyDescent="0.25">
      <c r="B392" s="7">
        <v>556</v>
      </c>
      <c r="C392" s="7">
        <v>0</v>
      </c>
    </row>
    <row r="393" spans="2:3" x14ac:dyDescent="0.25">
      <c r="B393" s="7">
        <v>1264</v>
      </c>
      <c r="C393" s="7">
        <v>1</v>
      </c>
    </row>
    <row r="394" spans="2:3" x14ac:dyDescent="0.25">
      <c r="B394" s="7">
        <v>422</v>
      </c>
      <c r="C394" s="7">
        <v>0</v>
      </c>
    </row>
    <row r="395" spans="2:3" x14ac:dyDescent="0.25">
      <c r="B395" s="7">
        <v>1436</v>
      </c>
      <c r="C395" s="7">
        <v>1</v>
      </c>
    </row>
    <row r="396" spans="2:3" x14ac:dyDescent="0.25">
      <c r="B396" s="7">
        <v>1358</v>
      </c>
      <c r="C396" s="7">
        <v>1</v>
      </c>
    </row>
    <row r="397" spans="2:3" x14ac:dyDescent="0.25">
      <c r="B397" s="7">
        <v>268</v>
      </c>
      <c r="C397" s="7">
        <v>0</v>
      </c>
    </row>
    <row r="398" spans="2:3" x14ac:dyDescent="0.25">
      <c r="B398" s="7">
        <v>165</v>
      </c>
      <c r="C398" s="7">
        <v>0</v>
      </c>
    </row>
    <row r="399" spans="2:3" x14ac:dyDescent="0.25">
      <c r="B399" s="7">
        <v>818</v>
      </c>
      <c r="C399" s="7">
        <v>1</v>
      </c>
    </row>
    <row r="400" spans="2:3" x14ac:dyDescent="0.25">
      <c r="B400" s="7">
        <v>856</v>
      </c>
      <c r="C400" s="7">
        <v>1</v>
      </c>
    </row>
    <row r="401" spans="2:3" x14ac:dyDescent="0.25">
      <c r="B401" s="7">
        <v>486</v>
      </c>
      <c r="C401" s="7">
        <v>0</v>
      </c>
    </row>
    <row r="402" spans="2:3" x14ac:dyDescent="0.25">
      <c r="B402" s="7">
        <v>1321</v>
      </c>
      <c r="C402" s="7">
        <v>1</v>
      </c>
    </row>
    <row r="403" spans="2:3" x14ac:dyDescent="0.25">
      <c r="B403" s="7">
        <v>1345</v>
      </c>
      <c r="C403" s="7">
        <v>1</v>
      </c>
    </row>
    <row r="404" spans="2:3" x14ac:dyDescent="0.25">
      <c r="B404" s="7">
        <v>387</v>
      </c>
      <c r="C404" s="7">
        <v>0</v>
      </c>
    </row>
    <row r="405" spans="2:3" x14ac:dyDescent="0.25">
      <c r="B405" s="7">
        <v>1331</v>
      </c>
      <c r="C405" s="7">
        <v>1</v>
      </c>
    </row>
    <row r="406" spans="2:3" x14ac:dyDescent="0.25">
      <c r="B406" s="7">
        <v>1028</v>
      </c>
      <c r="C406" s="7">
        <v>1</v>
      </c>
    </row>
    <row r="407" spans="2:3" x14ac:dyDescent="0.25">
      <c r="B407" s="7">
        <v>766</v>
      </c>
      <c r="C407" s="7">
        <v>0</v>
      </c>
    </row>
    <row r="408" spans="2:3" x14ac:dyDescent="0.25">
      <c r="B408" s="7">
        <v>839</v>
      </c>
      <c r="C408" s="7">
        <v>1</v>
      </c>
    </row>
    <row r="409" spans="2:3" x14ac:dyDescent="0.25">
      <c r="B409" s="7">
        <v>267</v>
      </c>
      <c r="C409" s="7">
        <v>0</v>
      </c>
    </row>
    <row r="410" spans="2:3" x14ac:dyDescent="0.25">
      <c r="B410" s="7">
        <v>988</v>
      </c>
      <c r="C410" s="7">
        <v>1</v>
      </c>
    </row>
    <row r="411" spans="2:3" x14ac:dyDescent="0.25">
      <c r="B411" s="7">
        <v>423</v>
      </c>
      <c r="C411" s="7">
        <v>0</v>
      </c>
    </row>
    <row r="412" spans="2:3" x14ac:dyDescent="0.25">
      <c r="B412" s="7">
        <v>823</v>
      </c>
      <c r="C412" s="7">
        <v>0</v>
      </c>
    </row>
    <row r="413" spans="2:3" x14ac:dyDescent="0.25">
      <c r="B413" s="7">
        <v>813</v>
      </c>
      <c r="C413" s="7">
        <v>0</v>
      </c>
    </row>
    <row r="414" spans="2:3" x14ac:dyDescent="0.25">
      <c r="B414" s="7">
        <v>1338</v>
      </c>
      <c r="C414" s="7">
        <v>1</v>
      </c>
    </row>
    <row r="415" spans="2:3" x14ac:dyDescent="0.25">
      <c r="B415" s="7">
        <v>459</v>
      </c>
      <c r="C415" s="7">
        <v>0</v>
      </c>
    </row>
    <row r="416" spans="2:3" x14ac:dyDescent="0.25">
      <c r="B416" s="7">
        <v>244</v>
      </c>
      <c r="C416" s="7">
        <v>0</v>
      </c>
    </row>
    <row r="417" spans="2:3" x14ac:dyDescent="0.25">
      <c r="B417" s="7">
        <v>572</v>
      </c>
      <c r="C417" s="7">
        <v>0</v>
      </c>
    </row>
    <row r="418" spans="2:3" x14ac:dyDescent="0.25">
      <c r="B418" s="7">
        <v>1231</v>
      </c>
      <c r="C418" s="7">
        <v>1</v>
      </c>
    </row>
    <row r="419" spans="2:3" x14ac:dyDescent="0.25">
      <c r="B419" s="7">
        <v>348</v>
      </c>
      <c r="C419" s="7">
        <v>0</v>
      </c>
    </row>
    <row r="420" spans="2:3" x14ac:dyDescent="0.25">
      <c r="B420" s="7">
        <v>313</v>
      </c>
      <c r="C420" s="7">
        <v>0</v>
      </c>
    </row>
    <row r="421" spans="2:3" x14ac:dyDescent="0.25">
      <c r="B421" s="7">
        <v>716</v>
      </c>
      <c r="C421" s="7">
        <v>0</v>
      </c>
    </row>
    <row r="422" spans="2:3" x14ac:dyDescent="0.25">
      <c r="B422" s="7">
        <v>480</v>
      </c>
      <c r="C422" s="7">
        <v>0</v>
      </c>
    </row>
    <row r="423" spans="2:3" x14ac:dyDescent="0.25">
      <c r="B423" s="7">
        <v>281</v>
      </c>
      <c r="C423" s="7">
        <v>0</v>
      </c>
    </row>
    <row r="424" spans="2:3" x14ac:dyDescent="0.25">
      <c r="B424" s="7">
        <v>427</v>
      </c>
      <c r="C424" s="7">
        <v>0</v>
      </c>
    </row>
    <row r="425" spans="2:3" x14ac:dyDescent="0.25">
      <c r="B425" s="7">
        <v>384</v>
      </c>
      <c r="C425" s="7">
        <v>0</v>
      </c>
    </row>
    <row r="426" spans="2:3" x14ac:dyDescent="0.25">
      <c r="B426" s="7">
        <v>1017</v>
      </c>
      <c r="C426" s="7">
        <v>1</v>
      </c>
    </row>
    <row r="427" spans="2:3" x14ac:dyDescent="0.25">
      <c r="B427" s="7">
        <v>442</v>
      </c>
      <c r="C427" s="7">
        <v>0</v>
      </c>
    </row>
    <row r="428" spans="2:3" x14ac:dyDescent="0.25">
      <c r="B428" s="7">
        <v>476</v>
      </c>
      <c r="C428" s="7">
        <v>0</v>
      </c>
    </row>
    <row r="429" spans="2:3" x14ac:dyDescent="0.25">
      <c r="B429" s="7">
        <v>861</v>
      </c>
      <c r="C429" s="7">
        <v>0</v>
      </c>
    </row>
    <row r="430" spans="2:3" x14ac:dyDescent="0.25">
      <c r="B430" s="7">
        <v>427</v>
      </c>
      <c r="C430" s="7">
        <v>0</v>
      </c>
    </row>
    <row r="431" spans="2:3" x14ac:dyDescent="0.25">
      <c r="B431" s="7">
        <v>220</v>
      </c>
      <c r="C431" s="7">
        <v>0</v>
      </c>
    </row>
    <row r="432" spans="2:3" x14ac:dyDescent="0.25">
      <c r="B432" s="7">
        <v>788</v>
      </c>
      <c r="C432" s="7">
        <v>0</v>
      </c>
    </row>
    <row r="433" spans="2:3" x14ac:dyDescent="0.25">
      <c r="B433" s="7">
        <v>641</v>
      </c>
      <c r="C433" s="7">
        <v>0</v>
      </c>
    </row>
    <row r="434" spans="2:3" x14ac:dyDescent="0.25">
      <c r="B434" s="7">
        <v>463</v>
      </c>
      <c r="C434" s="7">
        <v>0</v>
      </c>
    </row>
    <row r="435" spans="2:3" x14ac:dyDescent="0.25">
      <c r="B435" s="7">
        <v>884</v>
      </c>
      <c r="C435" s="7">
        <v>1</v>
      </c>
    </row>
    <row r="436" spans="2:3" x14ac:dyDescent="0.25">
      <c r="B436" s="7">
        <v>1030</v>
      </c>
      <c r="C436" s="7">
        <v>1</v>
      </c>
    </row>
    <row r="437" spans="2:3" x14ac:dyDescent="0.25">
      <c r="B437" s="7">
        <v>531</v>
      </c>
      <c r="C437" s="7">
        <v>0</v>
      </c>
    </row>
    <row r="438" spans="2:3" x14ac:dyDescent="0.25">
      <c r="B438" s="7">
        <v>772</v>
      </c>
      <c r="C438" s="7">
        <v>0</v>
      </c>
    </row>
    <row r="439" spans="2:3" x14ac:dyDescent="0.25">
      <c r="B439" s="7">
        <v>402</v>
      </c>
      <c r="C439" s="7">
        <v>0</v>
      </c>
    </row>
    <row r="440" spans="2:3" x14ac:dyDescent="0.25">
      <c r="B440" s="7">
        <v>482</v>
      </c>
      <c r="C440" s="7">
        <v>0</v>
      </c>
    </row>
    <row r="441" spans="2:3" x14ac:dyDescent="0.25">
      <c r="B441" s="7">
        <v>658</v>
      </c>
      <c r="C441" s="7">
        <v>1</v>
      </c>
    </row>
    <row r="442" spans="2:3" x14ac:dyDescent="0.25">
      <c r="B442" s="7">
        <v>339</v>
      </c>
      <c r="C442" s="7">
        <v>0</v>
      </c>
    </row>
    <row r="443" spans="2:3" x14ac:dyDescent="0.25">
      <c r="B443" s="7">
        <v>1339</v>
      </c>
      <c r="C443" s="7">
        <v>1</v>
      </c>
    </row>
    <row r="444" spans="2:3" x14ac:dyDescent="0.25">
      <c r="B444" s="7">
        <v>333</v>
      </c>
      <c r="C444" s="7">
        <v>0</v>
      </c>
    </row>
    <row r="445" spans="2:3" x14ac:dyDescent="0.25">
      <c r="B445" s="7">
        <v>123</v>
      </c>
      <c r="C445" s="7">
        <v>0</v>
      </c>
    </row>
    <row r="446" spans="2:3" x14ac:dyDescent="0.25">
      <c r="B446" s="7">
        <v>365</v>
      </c>
      <c r="C446" s="7">
        <v>0</v>
      </c>
    </row>
    <row r="447" spans="2:3" x14ac:dyDescent="0.25">
      <c r="B447" s="7">
        <v>661</v>
      </c>
      <c r="C447" s="7">
        <v>0</v>
      </c>
    </row>
    <row r="448" spans="2:3" x14ac:dyDescent="0.25">
      <c r="B448" s="7">
        <v>212</v>
      </c>
      <c r="C448" s="7">
        <v>0</v>
      </c>
    </row>
    <row r="449" spans="2:3" x14ac:dyDescent="0.25">
      <c r="B449" s="7">
        <v>834</v>
      </c>
      <c r="C449" s="7">
        <v>1</v>
      </c>
    </row>
    <row r="450" spans="2:3" x14ac:dyDescent="0.25">
      <c r="B450" s="7">
        <v>1520</v>
      </c>
      <c r="C450" s="7">
        <v>1</v>
      </c>
    </row>
    <row r="451" spans="2:3" x14ac:dyDescent="0.25">
      <c r="B451" s="7">
        <v>639</v>
      </c>
      <c r="C451" s="7">
        <v>0</v>
      </c>
    </row>
    <row r="452" spans="2:3" x14ac:dyDescent="0.25">
      <c r="B452" s="7">
        <v>297</v>
      </c>
      <c r="C452" s="7">
        <v>0</v>
      </c>
    </row>
    <row r="453" spans="2:3" x14ac:dyDescent="0.25">
      <c r="B453" s="7">
        <v>369</v>
      </c>
      <c r="C453" s="7">
        <v>0</v>
      </c>
    </row>
    <row r="454" spans="2:3" x14ac:dyDescent="0.25">
      <c r="B454" s="7">
        <v>874</v>
      </c>
      <c r="C454" s="7">
        <v>1</v>
      </c>
    </row>
    <row r="455" spans="2:3" x14ac:dyDescent="0.25">
      <c r="B455" s="7">
        <v>799</v>
      </c>
      <c r="C455" s="7">
        <v>0</v>
      </c>
    </row>
    <row r="456" spans="2:3" x14ac:dyDescent="0.25">
      <c r="B456" s="7">
        <v>336</v>
      </c>
      <c r="C456" s="7">
        <v>0</v>
      </c>
    </row>
    <row r="457" spans="2:3" x14ac:dyDescent="0.25">
      <c r="B457" s="7">
        <v>222</v>
      </c>
      <c r="C457" s="7">
        <v>0</v>
      </c>
    </row>
    <row r="458" spans="2:3" x14ac:dyDescent="0.25">
      <c r="B458" s="7">
        <v>587</v>
      </c>
      <c r="C458" s="7">
        <v>0</v>
      </c>
    </row>
    <row r="459" spans="2:3" x14ac:dyDescent="0.25">
      <c r="B459" s="7">
        <v>422</v>
      </c>
      <c r="C459" s="7">
        <v>0</v>
      </c>
    </row>
    <row r="460" spans="2:3" x14ac:dyDescent="0.25">
      <c r="B460" s="7">
        <v>1045</v>
      </c>
      <c r="C460" s="7">
        <v>1</v>
      </c>
    </row>
    <row r="461" spans="2:3" x14ac:dyDescent="0.25">
      <c r="B461" s="7">
        <v>260</v>
      </c>
      <c r="C461" s="7">
        <v>0</v>
      </c>
    </row>
    <row r="462" spans="2:3" x14ac:dyDescent="0.25">
      <c r="B462" s="7">
        <v>1011</v>
      </c>
      <c r="C462" s="7">
        <v>1</v>
      </c>
    </row>
    <row r="463" spans="2:3" x14ac:dyDescent="0.25">
      <c r="B463" s="7">
        <v>708</v>
      </c>
      <c r="C463" s="7">
        <v>1</v>
      </c>
    </row>
    <row r="464" spans="2:3" x14ac:dyDescent="0.25">
      <c r="B464" s="7">
        <v>814</v>
      </c>
      <c r="C464" s="7">
        <v>0</v>
      </c>
    </row>
    <row r="465" spans="2:3" x14ac:dyDescent="0.25">
      <c r="B465" s="7">
        <v>492</v>
      </c>
      <c r="C465" s="7">
        <v>0</v>
      </c>
    </row>
    <row r="466" spans="2:3" x14ac:dyDescent="0.25">
      <c r="B466" s="7">
        <v>485</v>
      </c>
      <c r="C466" s="7">
        <v>0</v>
      </c>
    </row>
    <row r="467" spans="2:3" x14ac:dyDescent="0.25">
      <c r="B467" s="7">
        <v>1165</v>
      </c>
      <c r="C467" s="7">
        <v>1</v>
      </c>
    </row>
    <row r="468" spans="2:3" x14ac:dyDescent="0.25">
      <c r="B468" s="7">
        <v>512</v>
      </c>
      <c r="C468" s="7">
        <v>0</v>
      </c>
    </row>
    <row r="469" spans="2:3" x14ac:dyDescent="0.25">
      <c r="B469" s="7">
        <v>1574</v>
      </c>
      <c r="C469" s="7">
        <v>1</v>
      </c>
    </row>
    <row r="470" spans="2:3" x14ac:dyDescent="0.25">
      <c r="B470" s="7">
        <v>464</v>
      </c>
      <c r="C470" s="7">
        <v>0</v>
      </c>
    </row>
    <row r="471" spans="2:3" x14ac:dyDescent="0.25">
      <c r="B471" s="7">
        <v>655</v>
      </c>
      <c r="C471" s="7">
        <v>0</v>
      </c>
    </row>
    <row r="472" spans="2:3" x14ac:dyDescent="0.25">
      <c r="B472" s="7">
        <v>806</v>
      </c>
      <c r="C472" s="7">
        <v>1</v>
      </c>
    </row>
    <row r="473" spans="2:3" x14ac:dyDescent="0.25">
      <c r="B473" s="7">
        <v>1355</v>
      </c>
      <c r="C473" s="7">
        <v>1</v>
      </c>
    </row>
    <row r="474" spans="2:3" x14ac:dyDescent="0.25">
      <c r="B474" s="7">
        <v>298</v>
      </c>
      <c r="C474" s="7">
        <v>0</v>
      </c>
    </row>
    <row r="475" spans="2:3" x14ac:dyDescent="0.25">
      <c r="B475" s="7">
        <v>1029</v>
      </c>
      <c r="C475" s="7">
        <v>1</v>
      </c>
    </row>
    <row r="476" spans="2:3" x14ac:dyDescent="0.25">
      <c r="B476" s="7">
        <v>981</v>
      </c>
      <c r="C476" s="7">
        <v>1</v>
      </c>
    </row>
    <row r="477" spans="2:3" x14ac:dyDescent="0.25">
      <c r="B477" s="7">
        <v>990</v>
      </c>
      <c r="C477" s="7">
        <v>0</v>
      </c>
    </row>
    <row r="478" spans="2:3" x14ac:dyDescent="0.25">
      <c r="B478" s="7">
        <v>834</v>
      </c>
      <c r="C478" s="7">
        <v>0</v>
      </c>
    </row>
    <row r="479" spans="2:3" x14ac:dyDescent="0.25">
      <c r="B479" s="7">
        <v>951</v>
      </c>
      <c r="C479" s="7">
        <v>1</v>
      </c>
    </row>
    <row r="480" spans="2:3" x14ac:dyDescent="0.25">
      <c r="B480" s="7">
        <v>863</v>
      </c>
      <c r="C480" s="7">
        <v>0</v>
      </c>
    </row>
    <row r="481" spans="2:3" x14ac:dyDescent="0.25">
      <c r="B481" s="7">
        <v>275</v>
      </c>
      <c r="C481" s="7">
        <v>0</v>
      </c>
    </row>
    <row r="482" spans="2:3" x14ac:dyDescent="0.25">
      <c r="B482" s="7">
        <v>432</v>
      </c>
      <c r="C482" s="7">
        <v>0</v>
      </c>
    </row>
    <row r="483" spans="2:3" x14ac:dyDescent="0.25">
      <c r="B483" s="7">
        <v>2178</v>
      </c>
      <c r="C483" s="7">
        <v>1</v>
      </c>
    </row>
    <row r="484" spans="2:3" x14ac:dyDescent="0.25">
      <c r="B484" s="7">
        <v>280</v>
      </c>
      <c r="C484" s="7">
        <v>0</v>
      </c>
    </row>
    <row r="485" spans="2:3" x14ac:dyDescent="0.25">
      <c r="B485" s="7">
        <v>1159</v>
      </c>
      <c r="C485" s="7">
        <v>1</v>
      </c>
    </row>
    <row r="486" spans="2:3" x14ac:dyDescent="0.25">
      <c r="B486" s="7">
        <v>500</v>
      </c>
      <c r="C486" s="7">
        <v>0</v>
      </c>
    </row>
    <row r="487" spans="2:3" x14ac:dyDescent="0.25">
      <c r="B487" s="7">
        <v>274</v>
      </c>
      <c r="C487" s="7">
        <v>0</v>
      </c>
    </row>
    <row r="488" spans="2:3" x14ac:dyDescent="0.25">
      <c r="B488" s="7">
        <v>489</v>
      </c>
      <c r="C488" s="7">
        <v>0</v>
      </c>
    </row>
    <row r="489" spans="2:3" x14ac:dyDescent="0.25">
      <c r="B489" s="7">
        <v>322</v>
      </c>
      <c r="C489" s="7">
        <v>0</v>
      </c>
    </row>
    <row r="490" spans="2:3" x14ac:dyDescent="0.25">
      <c r="B490" s="7">
        <v>167</v>
      </c>
      <c r="C490" s="7">
        <v>0</v>
      </c>
    </row>
    <row r="491" spans="2:3" x14ac:dyDescent="0.25">
      <c r="B491" s="7">
        <v>267</v>
      </c>
      <c r="C491" s="7">
        <v>0</v>
      </c>
    </row>
    <row r="492" spans="2:3" x14ac:dyDescent="0.25">
      <c r="B492" s="7">
        <v>1152</v>
      </c>
      <c r="C492" s="7">
        <v>1</v>
      </c>
    </row>
    <row r="493" spans="2:3" x14ac:dyDescent="0.25">
      <c r="B493" s="7">
        <v>787</v>
      </c>
      <c r="C493" s="7">
        <v>0</v>
      </c>
    </row>
    <row r="494" spans="2:3" x14ac:dyDescent="0.25">
      <c r="B494" s="7">
        <v>707</v>
      </c>
      <c r="C494" s="7">
        <v>1</v>
      </c>
    </row>
    <row r="495" spans="2:3" x14ac:dyDescent="0.25">
      <c r="B495" s="7">
        <v>616</v>
      </c>
      <c r="C495" s="7">
        <v>0</v>
      </c>
    </row>
    <row r="496" spans="2:3" x14ac:dyDescent="0.25">
      <c r="B496" s="7">
        <v>1297</v>
      </c>
      <c r="C496" s="7">
        <v>1</v>
      </c>
    </row>
    <row r="497" spans="2:3" x14ac:dyDescent="0.25">
      <c r="B497" s="7">
        <v>362</v>
      </c>
      <c r="C497" s="7">
        <v>0</v>
      </c>
    </row>
    <row r="498" spans="2:3" x14ac:dyDescent="0.25">
      <c r="B498" s="7">
        <v>1164</v>
      </c>
      <c r="C498" s="7">
        <v>1</v>
      </c>
    </row>
    <row r="499" spans="2:3" x14ac:dyDescent="0.25">
      <c r="B499" s="7">
        <v>1431</v>
      </c>
      <c r="C499" s="7">
        <v>1</v>
      </c>
    </row>
    <row r="500" spans="2:3" x14ac:dyDescent="0.25">
      <c r="B500" s="7">
        <v>641</v>
      </c>
      <c r="C500" s="7">
        <v>0</v>
      </c>
    </row>
    <row r="501" spans="2:3" x14ac:dyDescent="0.25">
      <c r="B501" s="7">
        <v>518</v>
      </c>
      <c r="C501" s="7">
        <v>0</v>
      </c>
    </row>
    <row r="502" spans="2:3" x14ac:dyDescent="0.25">
      <c r="B502" s="7">
        <v>309</v>
      </c>
      <c r="C502" s="7">
        <v>0</v>
      </c>
    </row>
    <row r="503" spans="2:3" x14ac:dyDescent="0.25">
      <c r="B503" s="7">
        <v>564</v>
      </c>
      <c r="C503" s="7">
        <v>0</v>
      </c>
    </row>
    <row r="504" spans="2:3" x14ac:dyDescent="0.25">
      <c r="B504" s="7">
        <v>671</v>
      </c>
      <c r="C504" s="7">
        <v>0</v>
      </c>
    </row>
    <row r="505" spans="2:3" x14ac:dyDescent="0.25">
      <c r="B505" s="7">
        <v>587</v>
      </c>
      <c r="C505" s="7">
        <v>0</v>
      </c>
    </row>
    <row r="506" spans="2:3" x14ac:dyDescent="0.25">
      <c r="B506" s="7">
        <v>391</v>
      </c>
      <c r="C506" s="7">
        <v>0</v>
      </c>
    </row>
    <row r="507" spans="2:3" x14ac:dyDescent="0.25">
      <c r="B507" s="7">
        <v>410</v>
      </c>
      <c r="C507" s="7">
        <v>0</v>
      </c>
    </row>
    <row r="508" spans="2:3" x14ac:dyDescent="0.25">
      <c r="B508" s="7">
        <v>1394</v>
      </c>
      <c r="C508" s="7">
        <v>1</v>
      </c>
    </row>
    <row r="509" spans="2:3" x14ac:dyDescent="0.25">
      <c r="B509" s="7">
        <v>541</v>
      </c>
      <c r="C509" s="7">
        <v>0</v>
      </c>
    </row>
    <row r="510" spans="2:3" x14ac:dyDescent="0.25">
      <c r="B510" s="7">
        <v>261</v>
      </c>
      <c r="C510" s="7">
        <v>0</v>
      </c>
    </row>
    <row r="511" spans="2:3" x14ac:dyDescent="0.25">
      <c r="B511" s="7">
        <v>376</v>
      </c>
      <c r="C511" s="7">
        <v>0</v>
      </c>
    </row>
    <row r="512" spans="2:3" x14ac:dyDescent="0.25">
      <c r="B512" s="7">
        <v>193</v>
      </c>
      <c r="C512" s="7">
        <v>0</v>
      </c>
    </row>
    <row r="513" spans="2:3" x14ac:dyDescent="0.25">
      <c r="B513" s="7">
        <v>996</v>
      </c>
      <c r="C513" s="7">
        <v>0</v>
      </c>
    </row>
    <row r="514" spans="2:3" x14ac:dyDescent="0.25">
      <c r="B514" s="7">
        <v>678</v>
      </c>
      <c r="C514" s="7">
        <v>1</v>
      </c>
    </row>
    <row r="515" spans="2:3" x14ac:dyDescent="0.25">
      <c r="B515" s="7">
        <v>488</v>
      </c>
      <c r="C515" s="7">
        <v>0</v>
      </c>
    </row>
    <row r="516" spans="2:3" x14ac:dyDescent="0.25">
      <c r="B516" s="7">
        <v>494</v>
      </c>
      <c r="C516" s="7">
        <v>0</v>
      </c>
    </row>
    <row r="517" spans="2:3" x14ac:dyDescent="0.25">
      <c r="B517" s="7">
        <v>612</v>
      </c>
      <c r="C517" s="7">
        <v>0</v>
      </c>
    </row>
    <row r="518" spans="2:3" x14ac:dyDescent="0.25">
      <c r="B518" s="7">
        <v>965</v>
      </c>
      <c r="C518" s="7">
        <v>1</v>
      </c>
    </row>
    <row r="519" spans="2:3" x14ac:dyDescent="0.25">
      <c r="B519" s="7">
        <v>1146</v>
      </c>
      <c r="C519" s="7">
        <v>1</v>
      </c>
    </row>
    <row r="520" spans="2:3" x14ac:dyDescent="0.25">
      <c r="B520" s="7">
        <v>578</v>
      </c>
      <c r="C520" s="7">
        <v>0</v>
      </c>
    </row>
    <row r="521" spans="2:3" x14ac:dyDescent="0.25">
      <c r="B521" s="7">
        <v>738</v>
      </c>
      <c r="C521" s="7">
        <v>1</v>
      </c>
    </row>
    <row r="522" spans="2:3" x14ac:dyDescent="0.25">
      <c r="B522" s="7">
        <v>369</v>
      </c>
      <c r="C522" s="7">
        <v>0</v>
      </c>
    </row>
    <row r="523" spans="2:3" x14ac:dyDescent="0.25">
      <c r="B523" s="7">
        <v>1074</v>
      </c>
      <c r="C523" s="7">
        <v>1</v>
      </c>
    </row>
    <row r="524" spans="2:3" x14ac:dyDescent="0.25">
      <c r="B524" s="7">
        <v>198</v>
      </c>
      <c r="C524" s="7">
        <v>0</v>
      </c>
    </row>
    <row r="525" spans="2:3" x14ac:dyDescent="0.25">
      <c r="B525" s="7">
        <v>771</v>
      </c>
      <c r="C525" s="7">
        <v>0</v>
      </c>
    </row>
    <row r="526" spans="2:3" x14ac:dyDescent="0.25">
      <c r="B526" s="7">
        <v>446</v>
      </c>
      <c r="C526" s="7">
        <v>0</v>
      </c>
    </row>
    <row r="527" spans="2:3" x14ac:dyDescent="0.25">
      <c r="B527" s="7">
        <v>1147</v>
      </c>
      <c r="C527" s="7">
        <v>1</v>
      </c>
    </row>
    <row r="528" spans="2:3" x14ac:dyDescent="0.25">
      <c r="B528" s="7">
        <v>540</v>
      </c>
      <c r="C528" s="7">
        <v>0</v>
      </c>
    </row>
    <row r="529" spans="2:3" x14ac:dyDescent="0.25">
      <c r="B529" s="7">
        <v>556</v>
      </c>
      <c r="C529" s="7">
        <v>0</v>
      </c>
    </row>
    <row r="530" spans="2:3" x14ac:dyDescent="0.25">
      <c r="B530" s="7">
        <v>905</v>
      </c>
      <c r="C530" s="7">
        <v>1</v>
      </c>
    </row>
    <row r="531" spans="2:3" x14ac:dyDescent="0.25">
      <c r="B531" s="7">
        <v>431</v>
      </c>
      <c r="C531" s="7">
        <v>0</v>
      </c>
    </row>
    <row r="532" spans="2:3" x14ac:dyDescent="0.25">
      <c r="B532" s="7">
        <v>836</v>
      </c>
      <c r="C532" s="7">
        <v>0</v>
      </c>
    </row>
    <row r="533" spans="2:3" x14ac:dyDescent="0.25">
      <c r="B533" s="7">
        <v>1159</v>
      </c>
      <c r="C533" s="7">
        <v>1</v>
      </c>
    </row>
    <row r="534" spans="2:3" x14ac:dyDescent="0.25">
      <c r="B534" s="7">
        <v>339</v>
      </c>
      <c r="C534" s="7">
        <v>0</v>
      </c>
    </row>
    <row r="535" spans="2:3" x14ac:dyDescent="0.25">
      <c r="B535" s="7">
        <v>243</v>
      </c>
      <c r="C535" s="7">
        <v>0</v>
      </c>
    </row>
    <row r="536" spans="2:3" x14ac:dyDescent="0.25">
      <c r="B536" s="7">
        <v>525</v>
      </c>
      <c r="C536" s="7">
        <v>0</v>
      </c>
    </row>
    <row r="537" spans="2:3" x14ac:dyDescent="0.25">
      <c r="B537" s="7">
        <v>529</v>
      </c>
      <c r="C537" s="7">
        <v>0</v>
      </c>
    </row>
    <row r="538" spans="2:3" x14ac:dyDescent="0.25">
      <c r="B538" s="7">
        <v>1334</v>
      </c>
      <c r="C538" s="7">
        <v>1</v>
      </c>
    </row>
    <row r="539" spans="2:3" x14ac:dyDescent="0.25">
      <c r="B539" s="7">
        <v>946</v>
      </c>
      <c r="C539" s="7">
        <v>1</v>
      </c>
    </row>
    <row r="540" spans="2:3" x14ac:dyDescent="0.25">
      <c r="B540" s="7">
        <v>681</v>
      </c>
      <c r="C540" s="7">
        <v>0</v>
      </c>
    </row>
    <row r="541" spans="2:3" x14ac:dyDescent="0.25">
      <c r="B541" s="7">
        <v>898</v>
      </c>
      <c r="C541" s="7">
        <v>1</v>
      </c>
    </row>
    <row r="542" spans="2:3" x14ac:dyDescent="0.25">
      <c r="B542" s="7">
        <v>770</v>
      </c>
      <c r="C542" s="7">
        <v>0</v>
      </c>
    </row>
    <row r="543" spans="2:3" x14ac:dyDescent="0.25">
      <c r="B543" s="7">
        <v>802</v>
      </c>
      <c r="C543" s="7">
        <v>0</v>
      </c>
    </row>
    <row r="544" spans="2:3" x14ac:dyDescent="0.25">
      <c r="B544" s="7">
        <v>983</v>
      </c>
      <c r="C544" s="7">
        <v>1</v>
      </c>
    </row>
    <row r="545" spans="2:3" x14ac:dyDescent="0.25">
      <c r="B545" s="7">
        <v>537</v>
      </c>
      <c r="C545" s="7">
        <v>0</v>
      </c>
    </row>
    <row r="546" spans="2:3" x14ac:dyDescent="0.25">
      <c r="B546" s="7">
        <v>793</v>
      </c>
      <c r="C546" s="7">
        <v>0</v>
      </c>
    </row>
    <row r="547" spans="2:3" x14ac:dyDescent="0.25">
      <c r="B547" s="7">
        <v>757</v>
      </c>
      <c r="C547" s="7">
        <v>0</v>
      </c>
    </row>
    <row r="548" spans="2:3" x14ac:dyDescent="0.25">
      <c r="B548" s="7">
        <v>782</v>
      </c>
      <c r="C548" s="7">
        <v>0</v>
      </c>
    </row>
    <row r="549" spans="2:3" x14ac:dyDescent="0.25">
      <c r="B549" s="7">
        <v>346</v>
      </c>
      <c r="C549" s="7">
        <v>0</v>
      </c>
    </row>
    <row r="550" spans="2:3" x14ac:dyDescent="0.25">
      <c r="B550" s="7">
        <v>1265</v>
      </c>
      <c r="C550" s="7">
        <v>1</v>
      </c>
    </row>
    <row r="551" spans="2:3" x14ac:dyDescent="0.25">
      <c r="B551" s="7">
        <v>818</v>
      </c>
      <c r="C551" s="7">
        <v>0</v>
      </c>
    </row>
    <row r="552" spans="2:3" x14ac:dyDescent="0.25">
      <c r="B552" s="7">
        <v>182</v>
      </c>
      <c r="C552" s="7">
        <v>0</v>
      </c>
    </row>
    <row r="553" spans="2:3" x14ac:dyDescent="0.25">
      <c r="B553" s="7">
        <v>475</v>
      </c>
      <c r="C553" s="7">
        <v>0</v>
      </c>
    </row>
    <row r="554" spans="2:3" x14ac:dyDescent="0.25">
      <c r="B554" s="7">
        <v>830</v>
      </c>
      <c r="C554" s="7">
        <v>1</v>
      </c>
    </row>
    <row r="555" spans="2:3" x14ac:dyDescent="0.25">
      <c r="B555" s="7">
        <v>314</v>
      </c>
      <c r="C555" s="7">
        <v>0</v>
      </c>
    </row>
    <row r="556" spans="2:3" x14ac:dyDescent="0.25">
      <c r="B556" s="7">
        <v>1375</v>
      </c>
      <c r="C556" s="7">
        <v>1</v>
      </c>
    </row>
    <row r="557" spans="2:3" x14ac:dyDescent="0.25">
      <c r="B557" s="7">
        <v>494</v>
      </c>
      <c r="C557" s="7">
        <v>0</v>
      </c>
    </row>
    <row r="558" spans="2:3" x14ac:dyDescent="0.25">
      <c r="B558" s="7">
        <v>509</v>
      </c>
      <c r="C558" s="7">
        <v>0</v>
      </c>
    </row>
    <row r="559" spans="2:3" x14ac:dyDescent="0.25">
      <c r="B559" s="7">
        <v>1556</v>
      </c>
      <c r="C559" s="7">
        <v>1</v>
      </c>
    </row>
    <row r="560" spans="2:3" x14ac:dyDescent="0.25">
      <c r="B560" s="7">
        <v>329</v>
      </c>
      <c r="C560" s="7">
        <v>0</v>
      </c>
    </row>
    <row r="561" spans="2:3" x14ac:dyDescent="0.25">
      <c r="B561" s="7">
        <v>496</v>
      </c>
      <c r="C561" s="7">
        <v>0</v>
      </c>
    </row>
    <row r="562" spans="2:3" x14ac:dyDescent="0.25">
      <c r="B562" s="7">
        <v>525</v>
      </c>
      <c r="C562" s="7">
        <v>0</v>
      </c>
    </row>
    <row r="563" spans="2:3" x14ac:dyDescent="0.25">
      <c r="B563" s="7">
        <v>559</v>
      </c>
      <c r="C563" s="7">
        <v>0</v>
      </c>
    </row>
    <row r="564" spans="2:3" x14ac:dyDescent="0.25">
      <c r="B564" s="7">
        <v>1287</v>
      </c>
      <c r="C564" s="7">
        <v>1</v>
      </c>
    </row>
    <row r="565" spans="2:3" x14ac:dyDescent="0.25">
      <c r="B565" s="7">
        <v>821</v>
      </c>
      <c r="C565" s="7">
        <v>1</v>
      </c>
    </row>
    <row r="566" spans="2:3" x14ac:dyDescent="0.25">
      <c r="B566" s="7">
        <v>675</v>
      </c>
      <c r="C566" s="7">
        <v>0</v>
      </c>
    </row>
    <row r="567" spans="2:3" x14ac:dyDescent="0.25">
      <c r="B567" s="7">
        <v>371</v>
      </c>
      <c r="C567" s="7">
        <v>0</v>
      </c>
    </row>
    <row r="568" spans="2:3" x14ac:dyDescent="0.25">
      <c r="B568" s="7">
        <v>140</v>
      </c>
      <c r="C568" s="7">
        <v>0</v>
      </c>
    </row>
    <row r="569" spans="2:3" x14ac:dyDescent="0.25">
      <c r="B569" s="7">
        <v>1092</v>
      </c>
      <c r="C569" s="7">
        <v>1</v>
      </c>
    </row>
    <row r="570" spans="2:3" x14ac:dyDescent="0.25">
      <c r="B570" s="7">
        <v>2605</v>
      </c>
      <c r="C570" s="7">
        <v>1</v>
      </c>
    </row>
    <row r="571" spans="2:3" x14ac:dyDescent="0.25">
      <c r="B571" s="7">
        <v>964</v>
      </c>
      <c r="C571" s="7">
        <v>1</v>
      </c>
    </row>
    <row r="572" spans="2:3" x14ac:dyDescent="0.25">
      <c r="B572" s="7">
        <v>373</v>
      </c>
      <c r="C572" s="7">
        <v>0</v>
      </c>
    </row>
    <row r="573" spans="2:3" x14ac:dyDescent="0.25">
      <c r="B573" s="7">
        <v>871</v>
      </c>
      <c r="C573" s="7">
        <v>1</v>
      </c>
    </row>
    <row r="574" spans="2:3" x14ac:dyDescent="0.25">
      <c r="B574" s="7">
        <v>86</v>
      </c>
      <c r="C574" s="7">
        <v>0</v>
      </c>
    </row>
    <row r="575" spans="2:3" x14ac:dyDescent="0.25">
      <c r="B575" s="7">
        <v>426</v>
      </c>
      <c r="C575" s="7">
        <v>0</v>
      </c>
    </row>
    <row r="576" spans="2:3" x14ac:dyDescent="0.25">
      <c r="B576" s="7">
        <v>451</v>
      </c>
      <c r="C576" s="7">
        <v>0</v>
      </c>
    </row>
    <row r="577" spans="2:3" x14ac:dyDescent="0.25">
      <c r="B577" s="7">
        <v>298</v>
      </c>
      <c r="C577" s="7">
        <v>0</v>
      </c>
    </row>
    <row r="578" spans="2:3" x14ac:dyDescent="0.25">
      <c r="B578" s="7">
        <v>583</v>
      </c>
      <c r="C578" s="7">
        <v>0</v>
      </c>
    </row>
    <row r="579" spans="2:3" x14ac:dyDescent="0.25">
      <c r="B579" s="7">
        <v>663</v>
      </c>
      <c r="C579" s="7">
        <v>0</v>
      </c>
    </row>
    <row r="580" spans="2:3" x14ac:dyDescent="0.25">
      <c r="B580" s="7">
        <v>734</v>
      </c>
      <c r="C580" s="7">
        <v>0</v>
      </c>
    </row>
    <row r="581" spans="2:3" x14ac:dyDescent="0.25">
      <c r="B581" s="7">
        <v>894</v>
      </c>
      <c r="C581" s="7">
        <v>1</v>
      </c>
    </row>
    <row r="582" spans="2:3" x14ac:dyDescent="0.25">
      <c r="B582" s="7">
        <v>255</v>
      </c>
      <c r="C582" s="7">
        <v>0</v>
      </c>
    </row>
    <row r="583" spans="2:3" x14ac:dyDescent="0.25">
      <c r="B583" s="7">
        <v>406</v>
      </c>
      <c r="C583" s="7">
        <v>0</v>
      </c>
    </row>
    <row r="584" spans="2:3" x14ac:dyDescent="0.25">
      <c r="B584" s="7">
        <v>633</v>
      </c>
      <c r="C584" s="7">
        <v>0</v>
      </c>
    </row>
    <row r="585" spans="2:3" x14ac:dyDescent="0.25">
      <c r="B585" s="7">
        <v>350</v>
      </c>
      <c r="C585" s="7">
        <v>0</v>
      </c>
    </row>
    <row r="586" spans="2:3" x14ac:dyDescent="0.25">
      <c r="B586" s="7">
        <v>1009</v>
      </c>
      <c r="C586" s="7">
        <v>1</v>
      </c>
    </row>
    <row r="587" spans="2:3" x14ac:dyDescent="0.25">
      <c r="B587" s="7">
        <v>883</v>
      </c>
      <c r="C587" s="7">
        <v>1</v>
      </c>
    </row>
    <row r="588" spans="2:3" x14ac:dyDescent="0.25">
      <c r="B588" s="7">
        <v>161</v>
      </c>
      <c r="C588" s="7">
        <v>0</v>
      </c>
    </row>
    <row r="589" spans="2:3" x14ac:dyDescent="0.25">
      <c r="B589" s="7">
        <v>378</v>
      </c>
      <c r="C589" s="7">
        <v>0</v>
      </c>
    </row>
    <row r="590" spans="2:3" x14ac:dyDescent="0.25">
      <c r="B590" s="7">
        <v>1815</v>
      </c>
      <c r="C590" s="7">
        <v>1</v>
      </c>
    </row>
    <row r="591" spans="2:3" x14ac:dyDescent="0.25">
      <c r="B591" s="7">
        <v>262</v>
      </c>
      <c r="C591" s="7">
        <v>0</v>
      </c>
    </row>
    <row r="592" spans="2:3" x14ac:dyDescent="0.25">
      <c r="B592" s="7">
        <v>258</v>
      </c>
      <c r="C592" s="7">
        <v>0</v>
      </c>
    </row>
    <row r="593" spans="2:3" x14ac:dyDescent="0.25">
      <c r="B593" s="7">
        <v>573</v>
      </c>
      <c r="C593" s="7">
        <v>0</v>
      </c>
    </row>
    <row r="594" spans="2:3" x14ac:dyDescent="0.25">
      <c r="B594" s="7">
        <v>217</v>
      </c>
      <c r="C594" s="7">
        <v>0</v>
      </c>
    </row>
    <row r="595" spans="2:3" x14ac:dyDescent="0.25">
      <c r="B595" s="7">
        <v>167</v>
      </c>
      <c r="C595" s="7">
        <v>0</v>
      </c>
    </row>
    <row r="596" spans="2:3" x14ac:dyDescent="0.25">
      <c r="B596" s="7">
        <v>849</v>
      </c>
      <c r="C596" s="7">
        <v>1</v>
      </c>
    </row>
    <row r="597" spans="2:3" x14ac:dyDescent="0.25">
      <c r="B597" s="7">
        <v>1365</v>
      </c>
      <c r="C597" s="7">
        <v>1</v>
      </c>
    </row>
    <row r="598" spans="2:3" x14ac:dyDescent="0.25">
      <c r="B598" s="7">
        <v>815</v>
      </c>
      <c r="C598" s="7">
        <v>0</v>
      </c>
    </row>
    <row r="599" spans="2:3" x14ac:dyDescent="0.25">
      <c r="B599" s="7">
        <v>634</v>
      </c>
      <c r="C599" s="7">
        <v>0</v>
      </c>
    </row>
    <row r="600" spans="2:3" x14ac:dyDescent="0.25">
      <c r="B600" s="7">
        <v>933</v>
      </c>
      <c r="C600" s="7">
        <v>0</v>
      </c>
    </row>
    <row r="601" spans="2:3" x14ac:dyDescent="0.25">
      <c r="B601" s="7">
        <v>561</v>
      </c>
      <c r="C601" s="7">
        <v>0</v>
      </c>
    </row>
    <row r="602" spans="2:3" x14ac:dyDescent="0.25">
      <c r="B602" s="7">
        <v>720</v>
      </c>
      <c r="C602" s="7">
        <v>0</v>
      </c>
    </row>
    <row r="603" spans="2:3" x14ac:dyDescent="0.25">
      <c r="B603" s="7">
        <v>182</v>
      </c>
      <c r="C603" s="7">
        <v>0</v>
      </c>
    </row>
    <row r="604" spans="2:3" x14ac:dyDescent="0.25">
      <c r="B604" s="7">
        <v>283</v>
      </c>
      <c r="C604" s="7">
        <v>0</v>
      </c>
    </row>
    <row r="605" spans="2:3" x14ac:dyDescent="0.25">
      <c r="B605" s="7">
        <v>893</v>
      </c>
      <c r="C605" s="7">
        <v>1</v>
      </c>
    </row>
    <row r="606" spans="2:3" x14ac:dyDescent="0.25">
      <c r="B606" s="7">
        <v>141</v>
      </c>
      <c r="C606" s="7">
        <v>0</v>
      </c>
    </row>
    <row r="607" spans="2:3" x14ac:dyDescent="0.25">
      <c r="B607" s="7">
        <v>1130</v>
      </c>
      <c r="C607" s="7">
        <v>1</v>
      </c>
    </row>
    <row r="608" spans="2:3" x14ac:dyDescent="0.25">
      <c r="B608" s="7">
        <v>1152</v>
      </c>
      <c r="C608" s="7">
        <v>1</v>
      </c>
    </row>
    <row r="609" spans="2:3" x14ac:dyDescent="0.25">
      <c r="B609" s="7">
        <v>156</v>
      </c>
      <c r="C609" s="7">
        <v>0</v>
      </c>
    </row>
    <row r="610" spans="2:3" x14ac:dyDescent="0.25">
      <c r="B610" s="7">
        <v>712</v>
      </c>
      <c r="C610" s="7">
        <v>1</v>
      </c>
    </row>
    <row r="611" spans="2:3" x14ac:dyDescent="0.25">
      <c r="B611" s="7">
        <v>249</v>
      </c>
      <c r="C611" s="7">
        <v>0</v>
      </c>
    </row>
    <row r="612" spans="2:3" x14ac:dyDescent="0.25">
      <c r="B612" s="7">
        <v>389</v>
      </c>
      <c r="C612" s="7">
        <v>0</v>
      </c>
    </row>
    <row r="613" spans="2:3" x14ac:dyDescent="0.25">
      <c r="B613" s="7">
        <v>1282</v>
      </c>
      <c r="C613" s="7">
        <v>1</v>
      </c>
    </row>
    <row r="614" spans="2:3" x14ac:dyDescent="0.25">
      <c r="B614" s="7">
        <v>386</v>
      </c>
      <c r="C614" s="7">
        <v>0</v>
      </c>
    </row>
    <row r="615" spans="2:3" x14ac:dyDescent="0.25">
      <c r="B615" s="7">
        <v>1025</v>
      </c>
      <c r="C615" s="7">
        <v>1</v>
      </c>
    </row>
    <row r="616" spans="2:3" x14ac:dyDescent="0.25">
      <c r="B616" s="7">
        <v>688</v>
      </c>
      <c r="C616" s="7">
        <v>0</v>
      </c>
    </row>
    <row r="617" spans="2:3" x14ac:dyDescent="0.25">
      <c r="B617" s="7">
        <v>268</v>
      </c>
      <c r="C617" s="7">
        <v>0</v>
      </c>
    </row>
    <row r="618" spans="2:3" x14ac:dyDescent="0.25">
      <c r="B618" s="7">
        <v>798</v>
      </c>
      <c r="C618" s="7">
        <v>0</v>
      </c>
    </row>
    <row r="619" spans="2:3" x14ac:dyDescent="0.25">
      <c r="B619" s="7">
        <v>1229</v>
      </c>
      <c r="C619" s="7">
        <v>1</v>
      </c>
    </row>
    <row r="620" spans="2:3" x14ac:dyDescent="0.25">
      <c r="B620" s="7">
        <v>536</v>
      </c>
      <c r="C620" s="7">
        <v>0</v>
      </c>
    </row>
    <row r="621" spans="2:3" x14ac:dyDescent="0.25">
      <c r="B621" s="7">
        <v>572</v>
      </c>
      <c r="C621" s="7">
        <v>0</v>
      </c>
    </row>
    <row r="622" spans="2:3" x14ac:dyDescent="0.25">
      <c r="B622" s="7">
        <v>719</v>
      </c>
      <c r="C622" s="7">
        <v>0</v>
      </c>
    </row>
    <row r="623" spans="2:3" x14ac:dyDescent="0.25">
      <c r="B623" s="7">
        <v>222</v>
      </c>
      <c r="C623" s="7">
        <v>0</v>
      </c>
    </row>
    <row r="624" spans="2:3" x14ac:dyDescent="0.25">
      <c r="B624" s="7">
        <v>157</v>
      </c>
      <c r="C624" s="7">
        <v>0</v>
      </c>
    </row>
    <row r="625" spans="2:3" x14ac:dyDescent="0.25">
      <c r="B625" s="7">
        <v>898</v>
      </c>
      <c r="C625" s="7">
        <v>0</v>
      </c>
    </row>
    <row r="626" spans="2:3" x14ac:dyDescent="0.25">
      <c r="B626" s="7">
        <v>309</v>
      </c>
      <c r="C626" s="7">
        <v>0</v>
      </c>
    </row>
    <row r="627" spans="2:3" x14ac:dyDescent="0.25">
      <c r="B627" s="7">
        <v>553</v>
      </c>
      <c r="C627" s="7">
        <v>0</v>
      </c>
    </row>
    <row r="628" spans="2:3" x14ac:dyDescent="0.25">
      <c r="B628" s="7">
        <v>1518</v>
      </c>
      <c r="C628" s="7">
        <v>1</v>
      </c>
    </row>
    <row r="629" spans="2:3" x14ac:dyDescent="0.25">
      <c r="B629" s="7">
        <v>779</v>
      </c>
      <c r="C629" s="7">
        <v>0</v>
      </c>
    </row>
    <row r="630" spans="2:3" x14ac:dyDescent="0.25">
      <c r="B630" s="7">
        <v>806</v>
      </c>
      <c r="C630" s="7">
        <v>0</v>
      </c>
    </row>
    <row r="631" spans="2:3" x14ac:dyDescent="0.25">
      <c r="B631" s="7">
        <v>559</v>
      </c>
      <c r="C631" s="7">
        <v>0</v>
      </c>
    </row>
    <row r="632" spans="2:3" x14ac:dyDescent="0.25">
      <c r="B632" s="7">
        <v>878</v>
      </c>
      <c r="C632" s="7">
        <v>1</v>
      </c>
    </row>
    <row r="633" spans="2:3" x14ac:dyDescent="0.25">
      <c r="B633" s="7">
        <v>753</v>
      </c>
      <c r="C633" s="7">
        <v>0</v>
      </c>
    </row>
    <row r="634" spans="2:3" x14ac:dyDescent="0.25">
      <c r="B634" s="7">
        <v>722</v>
      </c>
      <c r="C634" s="7">
        <v>0</v>
      </c>
    </row>
    <row r="635" spans="2:3" x14ac:dyDescent="0.25">
      <c r="B635" s="7">
        <v>174</v>
      </c>
      <c r="C635" s="7">
        <v>0</v>
      </c>
    </row>
    <row r="636" spans="2:3" x14ac:dyDescent="0.25">
      <c r="B636" s="7">
        <v>717</v>
      </c>
      <c r="C636" s="7">
        <v>0</v>
      </c>
    </row>
    <row r="637" spans="2:3" x14ac:dyDescent="0.25">
      <c r="B637" s="7">
        <v>378</v>
      </c>
      <c r="C637" s="7">
        <v>0</v>
      </c>
    </row>
    <row r="638" spans="2:3" x14ac:dyDescent="0.25">
      <c r="B638" s="7">
        <v>389</v>
      </c>
      <c r="C638" s="7">
        <v>0</v>
      </c>
    </row>
    <row r="639" spans="2:3" x14ac:dyDescent="0.25">
      <c r="B639" s="7">
        <v>419</v>
      </c>
      <c r="C639" s="7">
        <v>0</v>
      </c>
    </row>
    <row r="640" spans="2:3" x14ac:dyDescent="0.25">
      <c r="B640" s="7">
        <v>910</v>
      </c>
      <c r="C640" s="7">
        <v>0</v>
      </c>
    </row>
    <row r="641" spans="2:3" x14ac:dyDescent="0.25">
      <c r="B641" s="7">
        <v>1829</v>
      </c>
      <c r="C641" s="7">
        <v>1</v>
      </c>
    </row>
    <row r="642" spans="2:3" x14ac:dyDescent="0.25">
      <c r="B642" s="7">
        <v>1346</v>
      </c>
      <c r="C642" s="7">
        <v>1</v>
      </c>
    </row>
    <row r="643" spans="2:3" x14ac:dyDescent="0.25">
      <c r="B643" s="7">
        <v>540</v>
      </c>
      <c r="C643" s="7">
        <v>0</v>
      </c>
    </row>
    <row r="644" spans="2:3" x14ac:dyDescent="0.25">
      <c r="B644" s="7">
        <v>1165</v>
      </c>
      <c r="C644" s="7">
        <v>1</v>
      </c>
    </row>
    <row r="645" spans="2:3" x14ac:dyDescent="0.25">
      <c r="B645" s="7">
        <v>639</v>
      </c>
      <c r="C645" s="7">
        <v>0</v>
      </c>
    </row>
    <row r="646" spans="2:3" x14ac:dyDescent="0.25">
      <c r="B646" s="7">
        <v>610</v>
      </c>
      <c r="C646" s="7">
        <v>0</v>
      </c>
    </row>
    <row r="647" spans="2:3" x14ac:dyDescent="0.25">
      <c r="B647" s="7">
        <v>439</v>
      </c>
      <c r="C647" s="7">
        <v>0</v>
      </c>
    </row>
    <row r="648" spans="2:3" x14ac:dyDescent="0.25">
      <c r="B648" s="7">
        <v>683</v>
      </c>
      <c r="C648" s="7">
        <v>1</v>
      </c>
    </row>
    <row r="649" spans="2:3" x14ac:dyDescent="0.25">
      <c r="B649" s="7">
        <v>1312</v>
      </c>
      <c r="C649" s="7">
        <v>1</v>
      </c>
    </row>
    <row r="650" spans="2:3" x14ac:dyDescent="0.25">
      <c r="B650" s="7">
        <v>344</v>
      </c>
      <c r="C650" s="7">
        <v>0</v>
      </c>
    </row>
    <row r="651" spans="2:3" x14ac:dyDescent="0.25">
      <c r="B651" s="7">
        <v>809</v>
      </c>
      <c r="C651" s="7">
        <v>0</v>
      </c>
    </row>
    <row r="652" spans="2:3" x14ac:dyDescent="0.25">
      <c r="B652" s="7">
        <v>552</v>
      </c>
      <c r="C652" s="7">
        <v>0</v>
      </c>
    </row>
    <row r="653" spans="2:3" x14ac:dyDescent="0.25">
      <c r="B653" s="7">
        <v>433</v>
      </c>
      <c r="C653" s="7">
        <v>0</v>
      </c>
    </row>
    <row r="654" spans="2:3" x14ac:dyDescent="0.25">
      <c r="B654" s="7">
        <v>663</v>
      </c>
      <c r="C654" s="7">
        <v>0</v>
      </c>
    </row>
    <row r="655" spans="2:3" x14ac:dyDescent="0.25">
      <c r="B655" s="7">
        <v>248</v>
      </c>
      <c r="C655" s="7">
        <v>0</v>
      </c>
    </row>
    <row r="656" spans="2:3" x14ac:dyDescent="0.25">
      <c r="B656" s="7">
        <v>426</v>
      </c>
      <c r="C656" s="7">
        <v>0</v>
      </c>
    </row>
    <row r="657" spans="2:3" x14ac:dyDescent="0.25">
      <c r="B657" s="7">
        <v>541</v>
      </c>
      <c r="C657" s="7">
        <v>0</v>
      </c>
    </row>
    <row r="658" spans="2:3" x14ac:dyDescent="0.25">
      <c r="B658" s="7">
        <v>617</v>
      </c>
      <c r="C658" s="7">
        <v>0</v>
      </c>
    </row>
    <row r="659" spans="2:3" x14ac:dyDescent="0.25">
      <c r="B659" s="7">
        <v>606</v>
      </c>
      <c r="C659" s="7">
        <v>0</v>
      </c>
    </row>
    <row r="660" spans="2:3" x14ac:dyDescent="0.25">
      <c r="B660" s="7">
        <v>1028</v>
      </c>
      <c r="C660" s="7">
        <v>1</v>
      </c>
    </row>
    <row r="661" spans="2:3" x14ac:dyDescent="0.25">
      <c r="B661" s="7">
        <v>667</v>
      </c>
      <c r="C661" s="7">
        <v>0</v>
      </c>
    </row>
    <row r="662" spans="2:3" x14ac:dyDescent="0.25">
      <c r="B662" s="7">
        <v>298</v>
      </c>
      <c r="C662" s="7">
        <v>0</v>
      </c>
    </row>
    <row r="663" spans="2:3" x14ac:dyDescent="0.25">
      <c r="B663" s="7">
        <v>491</v>
      </c>
      <c r="C663" s="7">
        <v>0</v>
      </c>
    </row>
    <row r="664" spans="2:3" x14ac:dyDescent="0.25">
      <c r="B664" s="7">
        <v>893</v>
      </c>
      <c r="C664" s="7">
        <v>1</v>
      </c>
    </row>
    <row r="665" spans="2:3" x14ac:dyDescent="0.25">
      <c r="B665" s="7">
        <v>390</v>
      </c>
      <c r="C665" s="7">
        <v>0</v>
      </c>
    </row>
    <row r="666" spans="2:3" x14ac:dyDescent="0.25">
      <c r="B666" s="7">
        <v>853</v>
      </c>
      <c r="C666" s="7">
        <v>1</v>
      </c>
    </row>
    <row r="667" spans="2:3" x14ac:dyDescent="0.25">
      <c r="B667" s="7">
        <v>500</v>
      </c>
      <c r="C667" s="7">
        <v>0</v>
      </c>
    </row>
    <row r="668" spans="2:3" x14ac:dyDescent="0.25">
      <c r="B668" s="7">
        <v>920</v>
      </c>
      <c r="C668" s="7">
        <v>1</v>
      </c>
    </row>
    <row r="669" spans="2:3" x14ac:dyDescent="0.25">
      <c r="B669" s="7">
        <v>559</v>
      </c>
      <c r="C669" s="7">
        <v>0</v>
      </c>
    </row>
    <row r="670" spans="2:3" x14ac:dyDescent="0.25">
      <c r="B670" s="7">
        <v>979</v>
      </c>
      <c r="C670" s="7">
        <v>0</v>
      </c>
    </row>
    <row r="671" spans="2:3" x14ac:dyDescent="0.25">
      <c r="B671" s="7">
        <v>625</v>
      </c>
      <c r="C671" s="7">
        <v>0</v>
      </c>
    </row>
    <row r="672" spans="2:3" x14ac:dyDescent="0.25">
      <c r="B672" s="7">
        <v>723</v>
      </c>
      <c r="C672" s="7">
        <v>0</v>
      </c>
    </row>
    <row r="673" spans="2:3" x14ac:dyDescent="0.25">
      <c r="B673" s="7">
        <v>936</v>
      </c>
      <c r="C673" s="7">
        <v>1</v>
      </c>
    </row>
    <row r="674" spans="2:3" x14ac:dyDescent="0.25">
      <c r="B674" s="7">
        <v>537</v>
      </c>
      <c r="C674" s="7">
        <v>0</v>
      </c>
    </row>
    <row r="675" spans="2:3" x14ac:dyDescent="0.25">
      <c r="B675" s="7">
        <v>126</v>
      </c>
      <c r="C675" s="7">
        <v>0</v>
      </c>
    </row>
    <row r="676" spans="2:3" x14ac:dyDescent="0.25">
      <c r="B676" s="7">
        <v>899</v>
      </c>
      <c r="C676" s="7">
        <v>0</v>
      </c>
    </row>
    <row r="677" spans="2:3" x14ac:dyDescent="0.25">
      <c r="B677" s="7">
        <v>270</v>
      </c>
      <c r="C677" s="7">
        <v>0</v>
      </c>
    </row>
    <row r="678" spans="2:3" x14ac:dyDescent="0.25">
      <c r="B678" s="7">
        <v>961</v>
      </c>
      <c r="C678" s="7">
        <v>1</v>
      </c>
    </row>
    <row r="679" spans="2:3" x14ac:dyDescent="0.25">
      <c r="B679" s="7">
        <v>418</v>
      </c>
      <c r="C679" s="7">
        <v>0</v>
      </c>
    </row>
    <row r="680" spans="2:3" x14ac:dyDescent="0.25">
      <c r="B680" s="7">
        <v>783</v>
      </c>
      <c r="C680" s="7">
        <v>0</v>
      </c>
    </row>
    <row r="681" spans="2:3" x14ac:dyDescent="0.25">
      <c r="B681" s="7">
        <v>287</v>
      </c>
      <c r="C681" s="7">
        <v>0</v>
      </c>
    </row>
    <row r="682" spans="2:3" x14ac:dyDescent="0.25">
      <c r="B682" s="7">
        <v>766</v>
      </c>
      <c r="C682" s="7">
        <v>0</v>
      </c>
    </row>
    <row r="683" spans="2:3" x14ac:dyDescent="0.25">
      <c r="B683" s="7">
        <v>725</v>
      </c>
      <c r="C683" s="7">
        <v>0</v>
      </c>
    </row>
    <row r="684" spans="2:3" x14ac:dyDescent="0.25">
      <c r="B684" s="7">
        <v>372</v>
      </c>
      <c r="C684" s="7">
        <v>0</v>
      </c>
    </row>
    <row r="685" spans="2:3" x14ac:dyDescent="0.25">
      <c r="B685" s="7">
        <v>633</v>
      </c>
      <c r="C685" s="7">
        <v>0</v>
      </c>
    </row>
    <row r="686" spans="2:3" x14ac:dyDescent="0.25">
      <c r="B686" s="7">
        <v>693</v>
      </c>
      <c r="C686" s="7">
        <v>0</v>
      </c>
    </row>
    <row r="687" spans="2:3" x14ac:dyDescent="0.25">
      <c r="B687" s="7">
        <v>583</v>
      </c>
      <c r="C687" s="7">
        <v>0</v>
      </c>
    </row>
    <row r="688" spans="2:3" x14ac:dyDescent="0.25">
      <c r="B688" s="7">
        <v>1468</v>
      </c>
      <c r="C688" s="7">
        <v>1</v>
      </c>
    </row>
    <row r="689" spans="2:3" x14ac:dyDescent="0.25">
      <c r="B689" s="7">
        <v>1245</v>
      </c>
      <c r="C689" s="7">
        <v>1</v>
      </c>
    </row>
    <row r="690" spans="2:3" x14ac:dyDescent="0.25">
      <c r="B690" s="7">
        <v>673</v>
      </c>
      <c r="C690" s="7">
        <v>1</v>
      </c>
    </row>
    <row r="691" spans="2:3" x14ac:dyDescent="0.25">
      <c r="B691" s="7">
        <v>866</v>
      </c>
      <c r="C691" s="7">
        <v>0</v>
      </c>
    </row>
    <row r="692" spans="2:3" x14ac:dyDescent="0.25">
      <c r="B692" s="7">
        <v>525</v>
      </c>
      <c r="C692" s="7">
        <v>0</v>
      </c>
    </row>
    <row r="693" spans="2:3" x14ac:dyDescent="0.25">
      <c r="B693" s="7">
        <v>461</v>
      </c>
      <c r="C693" s="7">
        <v>0</v>
      </c>
    </row>
    <row r="694" spans="2:3" x14ac:dyDescent="0.25">
      <c r="B694" s="7">
        <v>457</v>
      </c>
      <c r="C694" s="7">
        <v>0</v>
      </c>
    </row>
    <row r="695" spans="2:3" x14ac:dyDescent="0.25">
      <c r="B695" s="7">
        <v>616</v>
      </c>
      <c r="C695" s="7">
        <v>0</v>
      </c>
    </row>
    <row r="696" spans="2:3" x14ac:dyDescent="0.25">
      <c r="B696" s="7">
        <v>752</v>
      </c>
      <c r="C696" s="7">
        <v>1</v>
      </c>
    </row>
    <row r="697" spans="2:3" x14ac:dyDescent="0.25">
      <c r="B697" s="7">
        <v>349</v>
      </c>
      <c r="C697" s="7">
        <v>0</v>
      </c>
    </row>
    <row r="698" spans="2:3" x14ac:dyDescent="0.25">
      <c r="B698" s="7">
        <v>558</v>
      </c>
      <c r="C698" s="7">
        <v>0</v>
      </c>
    </row>
    <row r="699" spans="2:3" x14ac:dyDescent="0.25">
      <c r="B699" s="7">
        <v>554</v>
      </c>
      <c r="C699" s="7">
        <v>0</v>
      </c>
    </row>
    <row r="700" spans="2:3" x14ac:dyDescent="0.25">
      <c r="B700" s="7">
        <v>642</v>
      </c>
      <c r="C700" s="7">
        <v>0</v>
      </c>
    </row>
    <row r="701" spans="2:3" x14ac:dyDescent="0.25">
      <c r="B701" s="7">
        <v>723</v>
      </c>
      <c r="C701" s="7">
        <v>0</v>
      </c>
    </row>
    <row r="702" spans="2:3" x14ac:dyDescent="0.25">
      <c r="B702" s="7">
        <v>1454</v>
      </c>
      <c r="C702" s="7">
        <v>1</v>
      </c>
    </row>
    <row r="703" spans="2:3" x14ac:dyDescent="0.25">
      <c r="B703" s="7">
        <v>767</v>
      </c>
      <c r="C703" s="7">
        <v>0</v>
      </c>
    </row>
    <row r="704" spans="2:3" x14ac:dyDescent="0.25">
      <c r="B704" s="7">
        <v>225</v>
      </c>
      <c r="C704" s="7">
        <v>0</v>
      </c>
    </row>
    <row r="705" spans="2:3" x14ac:dyDescent="0.25">
      <c r="B705" s="7">
        <v>689</v>
      </c>
      <c r="C705" s="7">
        <v>0</v>
      </c>
    </row>
    <row r="706" spans="2:3" x14ac:dyDescent="0.25">
      <c r="B706" s="7">
        <v>675</v>
      </c>
      <c r="C706" s="7">
        <v>1</v>
      </c>
    </row>
    <row r="707" spans="2:3" x14ac:dyDescent="0.25">
      <c r="B707" s="7">
        <v>956</v>
      </c>
      <c r="C707" s="7">
        <v>1</v>
      </c>
    </row>
    <row r="708" spans="2:3" x14ac:dyDescent="0.25">
      <c r="B708" s="7">
        <v>421</v>
      </c>
      <c r="C708" s="7">
        <v>0</v>
      </c>
    </row>
    <row r="709" spans="2:3" x14ac:dyDescent="0.25">
      <c r="B709" s="7">
        <v>386</v>
      </c>
      <c r="C709" s="7">
        <v>0</v>
      </c>
    </row>
    <row r="710" spans="2:3" x14ac:dyDescent="0.25">
      <c r="B710" s="7">
        <v>215</v>
      </c>
      <c r="C710" s="7">
        <v>0</v>
      </c>
    </row>
    <row r="711" spans="2:3" x14ac:dyDescent="0.25">
      <c r="B711" s="7">
        <v>130</v>
      </c>
      <c r="C711" s="7">
        <v>0</v>
      </c>
    </row>
    <row r="712" spans="2:3" x14ac:dyDescent="0.25">
      <c r="B712" s="7">
        <v>922</v>
      </c>
      <c r="C712" s="7">
        <v>1</v>
      </c>
    </row>
    <row r="713" spans="2:3" x14ac:dyDescent="0.25">
      <c r="B713" s="7">
        <v>680</v>
      </c>
      <c r="C713" s="7">
        <v>1</v>
      </c>
    </row>
    <row r="714" spans="2:3" x14ac:dyDescent="0.25">
      <c r="B714" s="7">
        <v>523</v>
      </c>
      <c r="C714" s="7">
        <v>0</v>
      </c>
    </row>
    <row r="715" spans="2:3" x14ac:dyDescent="0.25">
      <c r="B715" s="7">
        <v>613</v>
      </c>
      <c r="C715" s="7">
        <v>0</v>
      </c>
    </row>
    <row r="716" spans="2:3" x14ac:dyDescent="0.25">
      <c r="B716" s="7">
        <v>638</v>
      </c>
      <c r="C716" s="7">
        <v>0</v>
      </c>
    </row>
    <row r="717" spans="2:3" x14ac:dyDescent="0.25">
      <c r="B717" s="7">
        <v>1092</v>
      </c>
      <c r="C717" s="7">
        <v>0</v>
      </c>
    </row>
    <row r="718" spans="2:3" x14ac:dyDescent="0.25">
      <c r="B718" s="7">
        <v>1524</v>
      </c>
      <c r="C718" s="7">
        <v>1</v>
      </c>
    </row>
    <row r="719" spans="2:3" x14ac:dyDescent="0.25">
      <c r="B719" s="7">
        <v>763</v>
      </c>
      <c r="C719" s="7">
        <v>1</v>
      </c>
    </row>
    <row r="720" spans="2:3" x14ac:dyDescent="0.25">
      <c r="B720" s="7">
        <v>437</v>
      </c>
      <c r="C720" s="7">
        <v>0</v>
      </c>
    </row>
    <row r="721" spans="2:3" x14ac:dyDescent="0.25">
      <c r="B721" s="7">
        <v>1754</v>
      </c>
      <c r="C721" s="7">
        <v>1</v>
      </c>
    </row>
    <row r="722" spans="2:3" x14ac:dyDescent="0.25">
      <c r="B722" s="7">
        <v>688</v>
      </c>
      <c r="C722" s="7">
        <v>0</v>
      </c>
    </row>
    <row r="723" spans="2:3" x14ac:dyDescent="0.25">
      <c r="B723" s="7">
        <v>337</v>
      </c>
      <c r="C723" s="7">
        <v>0</v>
      </c>
    </row>
    <row r="724" spans="2:3" x14ac:dyDescent="0.25">
      <c r="B724" s="7">
        <v>860</v>
      </c>
      <c r="C724" s="7">
        <v>0</v>
      </c>
    </row>
    <row r="725" spans="2:3" x14ac:dyDescent="0.25">
      <c r="B725" s="7">
        <v>693</v>
      </c>
      <c r="C725" s="7">
        <v>0</v>
      </c>
    </row>
    <row r="726" spans="2:3" x14ac:dyDescent="0.25">
      <c r="B726" s="7">
        <v>718</v>
      </c>
      <c r="C726" s="7">
        <v>0</v>
      </c>
    </row>
    <row r="727" spans="2:3" x14ac:dyDescent="0.25">
      <c r="B727" s="7">
        <v>424</v>
      </c>
      <c r="C727" s="7">
        <v>0</v>
      </c>
    </row>
    <row r="728" spans="2:3" x14ac:dyDescent="0.25">
      <c r="B728" s="7">
        <v>737</v>
      </c>
      <c r="C728" s="7">
        <v>1</v>
      </c>
    </row>
    <row r="729" spans="2:3" x14ac:dyDescent="0.25">
      <c r="B729" s="7">
        <v>554</v>
      </c>
      <c r="C729" s="7">
        <v>0</v>
      </c>
    </row>
    <row r="730" spans="2:3" x14ac:dyDescent="0.25">
      <c r="B730" s="7">
        <v>1151</v>
      </c>
      <c r="C730" s="7">
        <v>1</v>
      </c>
    </row>
    <row r="731" spans="2:3" x14ac:dyDescent="0.25">
      <c r="B731" s="7">
        <v>1093</v>
      </c>
      <c r="C731" s="7">
        <v>1</v>
      </c>
    </row>
    <row r="732" spans="2:3" x14ac:dyDescent="0.25">
      <c r="B732" s="7">
        <v>1490</v>
      </c>
      <c r="C732" s="7">
        <v>1</v>
      </c>
    </row>
    <row r="733" spans="2:3" x14ac:dyDescent="0.25">
      <c r="B733" s="7">
        <v>313</v>
      </c>
      <c r="C733" s="7">
        <v>0</v>
      </c>
    </row>
    <row r="734" spans="2:3" x14ac:dyDescent="0.25">
      <c r="B734" s="7">
        <v>535</v>
      </c>
      <c r="C734" s="7">
        <v>0</v>
      </c>
    </row>
    <row r="735" spans="2:3" x14ac:dyDescent="0.25">
      <c r="B735" s="7">
        <v>690</v>
      </c>
      <c r="C735" s="7">
        <v>0</v>
      </c>
    </row>
    <row r="736" spans="2:3" x14ac:dyDescent="0.25">
      <c r="B736" s="7">
        <v>538</v>
      </c>
      <c r="C736" s="7">
        <v>0</v>
      </c>
    </row>
    <row r="737" spans="2:3" x14ac:dyDescent="0.25">
      <c r="B737" s="7">
        <v>282</v>
      </c>
      <c r="C737" s="7">
        <v>0</v>
      </c>
    </row>
    <row r="738" spans="2:3" x14ac:dyDescent="0.25">
      <c r="B738" s="7">
        <v>388</v>
      </c>
      <c r="C738" s="7">
        <v>0</v>
      </c>
    </row>
    <row r="739" spans="2:3" x14ac:dyDescent="0.25">
      <c r="B739" s="7">
        <v>355</v>
      </c>
      <c r="C739" s="7">
        <v>0</v>
      </c>
    </row>
    <row r="740" spans="2:3" x14ac:dyDescent="0.25">
      <c r="B740" s="7">
        <v>437</v>
      </c>
      <c r="C740" s="7">
        <v>0</v>
      </c>
    </row>
    <row r="741" spans="2:3" x14ac:dyDescent="0.25">
      <c r="B741" s="7">
        <v>397</v>
      </c>
      <c r="C741" s="7">
        <v>0</v>
      </c>
    </row>
    <row r="742" spans="2:3" x14ac:dyDescent="0.25">
      <c r="B742" s="7">
        <v>629</v>
      </c>
      <c r="C742" s="7">
        <v>0</v>
      </c>
    </row>
    <row r="743" spans="2:3" x14ac:dyDescent="0.25">
      <c r="B743" s="7">
        <v>895</v>
      </c>
      <c r="C743" s="7">
        <v>1</v>
      </c>
    </row>
    <row r="744" spans="2:3" x14ac:dyDescent="0.25">
      <c r="B744" s="7">
        <v>665</v>
      </c>
      <c r="C744" s="7">
        <v>0</v>
      </c>
    </row>
    <row r="745" spans="2:3" x14ac:dyDescent="0.25">
      <c r="B745" s="7">
        <v>733</v>
      </c>
      <c r="C745" s="7">
        <v>1</v>
      </c>
    </row>
    <row r="746" spans="2:3" x14ac:dyDescent="0.25">
      <c r="B746" s="7">
        <v>1078</v>
      </c>
      <c r="C746" s="7">
        <v>1</v>
      </c>
    </row>
    <row r="747" spans="2:3" x14ac:dyDescent="0.25">
      <c r="B747" s="7">
        <v>943</v>
      </c>
      <c r="C747" s="7">
        <v>0</v>
      </c>
    </row>
    <row r="748" spans="2:3" x14ac:dyDescent="0.25">
      <c r="B748" s="7">
        <v>1097</v>
      </c>
      <c r="C748" s="7">
        <v>1</v>
      </c>
    </row>
    <row r="749" spans="2:3" x14ac:dyDescent="0.25">
      <c r="B749" s="7">
        <v>680</v>
      </c>
      <c r="C749" s="7">
        <v>0</v>
      </c>
    </row>
    <row r="750" spans="2:3" x14ac:dyDescent="0.25">
      <c r="B750" s="7">
        <v>310</v>
      </c>
      <c r="C750" s="7">
        <v>0</v>
      </c>
    </row>
    <row r="751" spans="2:3" x14ac:dyDescent="0.25">
      <c r="B751" s="7">
        <v>1179</v>
      </c>
      <c r="C751" s="7">
        <v>1</v>
      </c>
    </row>
    <row r="752" spans="2:3" x14ac:dyDescent="0.25">
      <c r="B752" s="7">
        <v>713</v>
      </c>
      <c r="C752" s="7">
        <v>0</v>
      </c>
    </row>
    <row r="753" spans="2:3" x14ac:dyDescent="0.25">
      <c r="B753" s="7">
        <v>1135</v>
      </c>
      <c r="C753" s="7">
        <v>1</v>
      </c>
    </row>
    <row r="754" spans="2:3" x14ac:dyDescent="0.25">
      <c r="B754" s="7">
        <v>357</v>
      </c>
      <c r="C754" s="7">
        <v>0</v>
      </c>
    </row>
    <row r="755" spans="2:3" x14ac:dyDescent="0.25">
      <c r="B755" s="7">
        <v>585</v>
      </c>
      <c r="C755" s="7">
        <v>0</v>
      </c>
    </row>
    <row r="756" spans="2:3" x14ac:dyDescent="0.25">
      <c r="B756" s="7">
        <v>119</v>
      </c>
      <c r="C756" s="7">
        <v>0</v>
      </c>
    </row>
    <row r="757" spans="2:3" x14ac:dyDescent="0.25">
      <c r="B757" s="7">
        <v>652</v>
      </c>
      <c r="C757" s="7">
        <v>0</v>
      </c>
    </row>
    <row r="758" spans="2:3" x14ac:dyDescent="0.25">
      <c r="B758" s="7">
        <v>686</v>
      </c>
      <c r="C758" s="7">
        <v>1</v>
      </c>
    </row>
    <row r="759" spans="2:3" x14ac:dyDescent="0.25">
      <c r="B759" s="7">
        <v>1645</v>
      </c>
      <c r="C759" s="7">
        <v>1</v>
      </c>
    </row>
    <row r="760" spans="2:3" x14ac:dyDescent="0.25">
      <c r="B760" s="7">
        <v>924</v>
      </c>
      <c r="C760" s="7">
        <v>0</v>
      </c>
    </row>
    <row r="761" spans="2:3" x14ac:dyDescent="0.25">
      <c r="B761" s="7">
        <v>241</v>
      </c>
      <c r="C761" s="7">
        <v>0</v>
      </c>
    </row>
    <row r="762" spans="2:3" x14ac:dyDescent="0.25">
      <c r="B762" s="7">
        <v>630</v>
      </c>
      <c r="C762" s="7">
        <v>0</v>
      </c>
    </row>
    <row r="763" spans="2:3" x14ac:dyDescent="0.25">
      <c r="B763" s="7">
        <v>1138</v>
      </c>
      <c r="C763" s="7">
        <v>1</v>
      </c>
    </row>
    <row r="764" spans="2:3" x14ac:dyDescent="0.25">
      <c r="B764" s="7">
        <v>600</v>
      </c>
      <c r="C764" s="7">
        <v>0</v>
      </c>
    </row>
    <row r="765" spans="2:3" x14ac:dyDescent="0.25">
      <c r="B765" s="7">
        <v>367</v>
      </c>
      <c r="C765" s="7">
        <v>0</v>
      </c>
    </row>
    <row r="766" spans="2:3" x14ac:dyDescent="0.25">
      <c r="B766" s="7">
        <v>1000</v>
      </c>
      <c r="C766" s="7">
        <v>0</v>
      </c>
    </row>
    <row r="767" spans="2:3" x14ac:dyDescent="0.25">
      <c r="B767" s="7">
        <v>256</v>
      </c>
      <c r="C767" s="7">
        <v>0</v>
      </c>
    </row>
    <row r="768" spans="2:3" x14ac:dyDescent="0.25">
      <c r="B768" s="7">
        <v>1058</v>
      </c>
      <c r="C768" s="7">
        <v>1</v>
      </c>
    </row>
    <row r="769" spans="2:3" x14ac:dyDescent="0.25">
      <c r="B769" s="7">
        <v>138</v>
      </c>
      <c r="C769" s="7">
        <v>0</v>
      </c>
    </row>
    <row r="770" spans="2:3" x14ac:dyDescent="0.25">
      <c r="B770" s="7">
        <v>1009</v>
      </c>
      <c r="C770" s="7">
        <v>1</v>
      </c>
    </row>
    <row r="771" spans="2:3" x14ac:dyDescent="0.25">
      <c r="B771" s="7">
        <v>655</v>
      </c>
      <c r="C771" s="7">
        <v>0</v>
      </c>
    </row>
    <row r="772" spans="2:3" x14ac:dyDescent="0.25">
      <c r="B772" s="7">
        <v>575</v>
      </c>
      <c r="C772" s="7">
        <v>0</v>
      </c>
    </row>
    <row r="773" spans="2:3" x14ac:dyDescent="0.25">
      <c r="B773" s="7">
        <v>593</v>
      </c>
      <c r="C773" s="7">
        <v>0</v>
      </c>
    </row>
    <row r="774" spans="2:3" x14ac:dyDescent="0.25">
      <c r="B774" s="7">
        <v>304</v>
      </c>
      <c r="C774" s="7">
        <v>0</v>
      </c>
    </row>
    <row r="775" spans="2:3" x14ac:dyDescent="0.25">
      <c r="B775" s="7">
        <v>1078</v>
      </c>
      <c r="C775" s="7">
        <v>1</v>
      </c>
    </row>
    <row r="776" spans="2:3" x14ac:dyDescent="0.25">
      <c r="B776" s="7">
        <v>510</v>
      </c>
      <c r="C776" s="7">
        <v>0</v>
      </c>
    </row>
    <row r="777" spans="2:3" x14ac:dyDescent="0.25">
      <c r="B777" s="7">
        <v>941</v>
      </c>
      <c r="C777" s="7">
        <v>0</v>
      </c>
    </row>
    <row r="778" spans="2:3" x14ac:dyDescent="0.25">
      <c r="B778" s="7">
        <v>328</v>
      </c>
      <c r="C778" s="7">
        <v>0</v>
      </c>
    </row>
    <row r="779" spans="2:3" x14ac:dyDescent="0.25">
      <c r="B779" s="7">
        <v>376</v>
      </c>
      <c r="C779" s="7">
        <v>0</v>
      </c>
    </row>
    <row r="780" spans="2:3" x14ac:dyDescent="0.25">
      <c r="B780" s="7">
        <v>1009</v>
      </c>
      <c r="C780" s="7">
        <v>1</v>
      </c>
    </row>
    <row r="781" spans="2:3" x14ac:dyDescent="0.25">
      <c r="B781" s="7">
        <v>276</v>
      </c>
      <c r="C781" s="7">
        <v>0</v>
      </c>
    </row>
    <row r="782" spans="2:3" x14ac:dyDescent="0.25">
      <c r="B782" s="7">
        <v>509</v>
      </c>
      <c r="C782" s="7">
        <v>0</v>
      </c>
    </row>
    <row r="783" spans="2:3" x14ac:dyDescent="0.25">
      <c r="B783" s="7">
        <v>606</v>
      </c>
      <c r="C783" s="7">
        <v>0</v>
      </c>
    </row>
    <row r="784" spans="2:3" x14ac:dyDescent="0.25">
      <c r="B784" s="7">
        <v>1553</v>
      </c>
      <c r="C784" s="7">
        <v>1</v>
      </c>
    </row>
    <row r="785" spans="2:3" x14ac:dyDescent="0.25">
      <c r="B785" s="7">
        <v>1298</v>
      </c>
      <c r="C785" s="7">
        <v>1</v>
      </c>
    </row>
    <row r="786" spans="2:3" x14ac:dyDescent="0.25">
      <c r="B786" s="7">
        <v>1534</v>
      </c>
      <c r="C786" s="7">
        <v>1</v>
      </c>
    </row>
    <row r="787" spans="2:3" x14ac:dyDescent="0.25">
      <c r="B787" s="7">
        <v>1744</v>
      </c>
      <c r="C787" s="7">
        <v>1</v>
      </c>
    </row>
    <row r="788" spans="2:3" x14ac:dyDescent="0.25">
      <c r="B788" s="7">
        <v>699</v>
      </c>
      <c r="C788" s="7">
        <v>1</v>
      </c>
    </row>
    <row r="789" spans="2:3" x14ac:dyDescent="0.25">
      <c r="B789" s="7">
        <v>375</v>
      </c>
      <c r="C789" s="7">
        <v>0</v>
      </c>
    </row>
    <row r="790" spans="2:3" x14ac:dyDescent="0.25">
      <c r="B790" s="7">
        <v>1002</v>
      </c>
      <c r="C790" s="7">
        <v>1</v>
      </c>
    </row>
    <row r="791" spans="2:3" x14ac:dyDescent="0.25">
      <c r="B791" s="7">
        <v>650</v>
      </c>
      <c r="C791" s="7">
        <v>0</v>
      </c>
    </row>
    <row r="792" spans="2:3" x14ac:dyDescent="0.25">
      <c r="B792" s="7">
        <v>512</v>
      </c>
      <c r="C792" s="7">
        <v>0</v>
      </c>
    </row>
    <row r="793" spans="2:3" x14ac:dyDescent="0.25">
      <c r="B793" s="7">
        <v>131</v>
      </c>
      <c r="C793" s="7">
        <v>0</v>
      </c>
    </row>
    <row r="794" spans="2:3" x14ac:dyDescent="0.25">
      <c r="B794" s="7">
        <v>341</v>
      </c>
      <c r="C794" s="7">
        <v>0</v>
      </c>
    </row>
    <row r="795" spans="2:3" x14ac:dyDescent="0.25">
      <c r="B795" s="7">
        <v>772</v>
      </c>
      <c r="C795" s="7">
        <v>1</v>
      </c>
    </row>
    <row r="796" spans="2:3" x14ac:dyDescent="0.25">
      <c r="B796" s="7">
        <v>1135</v>
      </c>
      <c r="C796" s="7">
        <v>1</v>
      </c>
    </row>
    <row r="797" spans="2:3" x14ac:dyDescent="0.25">
      <c r="B797" s="7">
        <v>1116</v>
      </c>
      <c r="C797" s="7">
        <v>1</v>
      </c>
    </row>
    <row r="798" spans="2:3" x14ac:dyDescent="0.25">
      <c r="B798" s="7">
        <v>276</v>
      </c>
      <c r="C798" s="7">
        <v>0</v>
      </c>
    </row>
    <row r="799" spans="2:3" x14ac:dyDescent="0.25">
      <c r="B799" s="7">
        <v>1044</v>
      </c>
      <c r="C799" s="7">
        <v>1</v>
      </c>
    </row>
    <row r="800" spans="2:3" x14ac:dyDescent="0.25">
      <c r="B800" s="7">
        <v>900</v>
      </c>
      <c r="C800" s="7">
        <v>0</v>
      </c>
    </row>
    <row r="801" spans="2:3" x14ac:dyDescent="0.25">
      <c r="B801" s="7">
        <v>730</v>
      </c>
      <c r="C801" s="7">
        <v>0</v>
      </c>
    </row>
    <row r="802" spans="2:3" x14ac:dyDescent="0.25">
      <c r="B802" s="7">
        <v>519</v>
      </c>
      <c r="C802" s="7">
        <v>0</v>
      </c>
    </row>
    <row r="803" spans="2:3" x14ac:dyDescent="0.25">
      <c r="B803" s="7">
        <v>1247</v>
      </c>
      <c r="C803" s="7">
        <v>1</v>
      </c>
    </row>
    <row r="804" spans="2:3" x14ac:dyDescent="0.25">
      <c r="B804" s="7">
        <v>210</v>
      </c>
      <c r="C804" s="7">
        <v>0</v>
      </c>
    </row>
    <row r="805" spans="2:3" x14ac:dyDescent="0.25">
      <c r="B805" s="7">
        <v>1131</v>
      </c>
      <c r="C805" s="7">
        <v>1</v>
      </c>
    </row>
    <row r="806" spans="2:3" x14ac:dyDescent="0.25">
      <c r="B806" s="7">
        <v>390</v>
      </c>
      <c r="C806" s="7">
        <v>0</v>
      </c>
    </row>
    <row r="807" spans="2:3" x14ac:dyDescent="0.25">
      <c r="B807" s="7">
        <v>865</v>
      </c>
      <c r="C807" s="7">
        <v>1</v>
      </c>
    </row>
    <row r="808" spans="2:3" x14ac:dyDescent="0.25">
      <c r="B808" s="7">
        <v>1039</v>
      </c>
      <c r="C808" s="7">
        <v>1</v>
      </c>
    </row>
    <row r="809" spans="2:3" x14ac:dyDescent="0.25">
      <c r="B809" s="7">
        <v>614</v>
      </c>
      <c r="C809" s="7">
        <v>0</v>
      </c>
    </row>
    <row r="810" spans="2:3" x14ac:dyDescent="0.25">
      <c r="B810" s="7">
        <v>108</v>
      </c>
      <c r="C810" s="7">
        <v>0</v>
      </c>
    </row>
    <row r="811" spans="2:3" x14ac:dyDescent="0.25">
      <c r="B811" s="7">
        <v>760</v>
      </c>
      <c r="C811" s="7">
        <v>1</v>
      </c>
    </row>
    <row r="812" spans="2:3" x14ac:dyDescent="0.25">
      <c r="B812" s="7">
        <v>364</v>
      </c>
      <c r="C812" s="7">
        <v>0</v>
      </c>
    </row>
    <row r="813" spans="2:3" x14ac:dyDescent="0.25">
      <c r="B813" s="7">
        <v>960</v>
      </c>
      <c r="C813" s="7">
        <v>1</v>
      </c>
    </row>
    <row r="814" spans="2:3" x14ac:dyDescent="0.25">
      <c r="B814" s="7">
        <v>639</v>
      </c>
      <c r="C814" s="7">
        <v>0</v>
      </c>
    </row>
    <row r="815" spans="2:3" x14ac:dyDescent="0.25">
      <c r="B815" s="7">
        <v>963</v>
      </c>
      <c r="C815" s="7">
        <v>1</v>
      </c>
    </row>
    <row r="816" spans="2:3" x14ac:dyDescent="0.25">
      <c r="B816" s="7">
        <v>515</v>
      </c>
      <c r="C816" s="7">
        <v>0</v>
      </c>
    </row>
    <row r="817" spans="2:3" x14ac:dyDescent="0.25">
      <c r="B817" s="7">
        <v>588</v>
      </c>
      <c r="C817" s="7">
        <v>0</v>
      </c>
    </row>
    <row r="818" spans="2:3" x14ac:dyDescent="0.25">
      <c r="B818" s="7">
        <v>982</v>
      </c>
      <c r="C818" s="7">
        <v>1</v>
      </c>
    </row>
    <row r="819" spans="2:3" x14ac:dyDescent="0.25">
      <c r="B819" s="7">
        <v>1991</v>
      </c>
      <c r="C819" s="7">
        <v>1</v>
      </c>
    </row>
    <row r="820" spans="2:3" x14ac:dyDescent="0.25">
      <c r="B820" s="7">
        <v>984</v>
      </c>
      <c r="C820" s="7">
        <v>1</v>
      </c>
    </row>
    <row r="821" spans="2:3" x14ac:dyDescent="0.25">
      <c r="B821" s="7">
        <v>775</v>
      </c>
      <c r="C821" s="7">
        <v>0</v>
      </c>
    </row>
    <row r="822" spans="2:3" x14ac:dyDescent="0.25">
      <c r="B822" s="7">
        <v>162</v>
      </c>
      <c r="C822" s="7">
        <v>0</v>
      </c>
    </row>
    <row r="823" spans="2:3" x14ac:dyDescent="0.25">
      <c r="B823" s="7">
        <v>778</v>
      </c>
      <c r="C823" s="7">
        <v>0</v>
      </c>
    </row>
    <row r="824" spans="2:3" x14ac:dyDescent="0.25">
      <c r="B824" s="7">
        <v>1508</v>
      </c>
      <c r="C824" s="7">
        <v>1</v>
      </c>
    </row>
    <row r="825" spans="2:3" x14ac:dyDescent="0.25">
      <c r="B825" s="7">
        <v>478</v>
      </c>
      <c r="C825" s="7">
        <v>0</v>
      </c>
    </row>
    <row r="826" spans="2:3" x14ac:dyDescent="0.25">
      <c r="B826" s="7">
        <v>505</v>
      </c>
      <c r="C826" s="7">
        <v>0</v>
      </c>
    </row>
    <row r="827" spans="2:3" x14ac:dyDescent="0.25">
      <c r="B827" s="7">
        <v>1298</v>
      </c>
      <c r="C827" s="7">
        <v>1</v>
      </c>
    </row>
    <row r="828" spans="2:3" x14ac:dyDescent="0.25">
      <c r="B828" s="7">
        <v>931</v>
      </c>
      <c r="C828" s="7">
        <v>1</v>
      </c>
    </row>
    <row r="829" spans="2:3" x14ac:dyDescent="0.25">
      <c r="B829" s="7">
        <v>759</v>
      </c>
      <c r="C829" s="7">
        <v>1</v>
      </c>
    </row>
    <row r="830" spans="2:3" x14ac:dyDescent="0.25">
      <c r="B830" s="7">
        <v>485</v>
      </c>
      <c r="C830" s="7">
        <v>0</v>
      </c>
    </row>
    <row r="831" spans="2:3" x14ac:dyDescent="0.25">
      <c r="B831" s="7">
        <v>763</v>
      </c>
      <c r="C831" s="7">
        <v>0</v>
      </c>
    </row>
    <row r="832" spans="2:3" x14ac:dyDescent="0.25">
      <c r="B832" s="7">
        <v>277</v>
      </c>
      <c r="C832" s="7">
        <v>0</v>
      </c>
    </row>
    <row r="833" spans="2:3" x14ac:dyDescent="0.25">
      <c r="B833" s="7">
        <v>1601</v>
      </c>
      <c r="C833" s="7">
        <v>1</v>
      </c>
    </row>
    <row r="834" spans="2:3" x14ac:dyDescent="0.25">
      <c r="B834" s="7">
        <v>484</v>
      </c>
      <c r="C834" s="7">
        <v>0</v>
      </c>
    </row>
    <row r="835" spans="2:3" x14ac:dyDescent="0.25">
      <c r="B835" s="7">
        <v>595</v>
      </c>
      <c r="C835" s="7">
        <v>0</v>
      </c>
    </row>
    <row r="836" spans="2:3" x14ac:dyDescent="0.25">
      <c r="B836" s="7">
        <v>402</v>
      </c>
      <c r="C836" s="7">
        <v>0</v>
      </c>
    </row>
    <row r="837" spans="2:3" x14ac:dyDescent="0.25">
      <c r="B837" s="7">
        <v>1769</v>
      </c>
      <c r="C837" s="7">
        <v>1</v>
      </c>
    </row>
    <row r="838" spans="2:3" x14ac:dyDescent="0.25">
      <c r="B838" s="7">
        <v>1025</v>
      </c>
      <c r="C838" s="7">
        <v>1</v>
      </c>
    </row>
    <row r="839" spans="2:3" x14ac:dyDescent="0.25">
      <c r="B839" s="7">
        <v>666</v>
      </c>
      <c r="C839" s="7">
        <v>0</v>
      </c>
    </row>
    <row r="840" spans="2:3" x14ac:dyDescent="0.25">
      <c r="B840" s="7">
        <v>1063</v>
      </c>
      <c r="C840" s="7">
        <v>1</v>
      </c>
    </row>
    <row r="841" spans="2:3" x14ac:dyDescent="0.25">
      <c r="B841" s="7">
        <v>987</v>
      </c>
      <c r="C841" s="7">
        <v>1</v>
      </c>
    </row>
    <row r="842" spans="2:3" x14ac:dyDescent="0.25">
      <c r="B842" s="7">
        <v>545</v>
      </c>
      <c r="C842" s="7">
        <v>0</v>
      </c>
    </row>
    <row r="843" spans="2:3" x14ac:dyDescent="0.25">
      <c r="B843" s="7">
        <v>338</v>
      </c>
      <c r="C843" s="7">
        <v>0</v>
      </c>
    </row>
    <row r="844" spans="2:3" x14ac:dyDescent="0.25">
      <c r="B844" s="7">
        <v>1027</v>
      </c>
      <c r="C844" s="7">
        <v>1</v>
      </c>
    </row>
    <row r="845" spans="2:3" x14ac:dyDescent="0.25">
      <c r="B845" s="7">
        <v>1104</v>
      </c>
      <c r="C845" s="7">
        <v>1</v>
      </c>
    </row>
    <row r="846" spans="2:3" x14ac:dyDescent="0.25">
      <c r="B846" s="7">
        <v>967</v>
      </c>
      <c r="C846" s="7">
        <v>0</v>
      </c>
    </row>
    <row r="847" spans="2:3" x14ac:dyDescent="0.25">
      <c r="B847" s="7">
        <v>466</v>
      </c>
      <c r="C847" s="7">
        <v>0</v>
      </c>
    </row>
    <row r="848" spans="2:3" x14ac:dyDescent="0.25">
      <c r="B848" s="7">
        <v>224</v>
      </c>
      <c r="C848" s="7">
        <v>0</v>
      </c>
    </row>
    <row r="849" spans="2:3" x14ac:dyDescent="0.25">
      <c r="B849" s="7">
        <v>376</v>
      </c>
      <c r="C849" s="7">
        <v>0</v>
      </c>
    </row>
    <row r="850" spans="2:3" x14ac:dyDescent="0.25">
      <c r="B850" s="7">
        <v>841</v>
      </c>
      <c r="C850" s="7">
        <v>0</v>
      </c>
    </row>
    <row r="851" spans="2:3" x14ac:dyDescent="0.25">
      <c r="B851" s="7">
        <v>469</v>
      </c>
      <c r="C851" s="7">
        <v>0</v>
      </c>
    </row>
    <row r="852" spans="2:3" x14ac:dyDescent="0.25">
      <c r="B852" s="7">
        <v>535</v>
      </c>
      <c r="C852" s="7">
        <v>0</v>
      </c>
    </row>
    <row r="853" spans="2:3" x14ac:dyDescent="0.25">
      <c r="B853" s="7">
        <v>464</v>
      </c>
      <c r="C853" s="7">
        <v>0</v>
      </c>
    </row>
    <row r="854" spans="2:3" x14ac:dyDescent="0.25">
      <c r="B854" s="7">
        <v>375</v>
      </c>
      <c r="C854" s="7">
        <v>0</v>
      </c>
    </row>
    <row r="855" spans="2:3" x14ac:dyDescent="0.25">
      <c r="B855" s="7">
        <v>343</v>
      </c>
      <c r="C855" s="7">
        <v>0</v>
      </c>
    </row>
    <row r="856" spans="2:3" x14ac:dyDescent="0.25">
      <c r="B856" s="7">
        <v>356</v>
      </c>
      <c r="C856" s="7">
        <v>0</v>
      </c>
    </row>
    <row r="857" spans="2:3" x14ac:dyDescent="0.25">
      <c r="B857" s="7">
        <v>541</v>
      </c>
      <c r="C857" s="7">
        <v>0</v>
      </c>
    </row>
    <row r="858" spans="2:3" x14ac:dyDescent="0.25">
      <c r="B858" s="7">
        <v>483</v>
      </c>
      <c r="C858" s="7">
        <v>0</v>
      </c>
    </row>
    <row r="859" spans="2:3" x14ac:dyDescent="0.25">
      <c r="B859" s="7">
        <v>323</v>
      </c>
      <c r="C859" s="7">
        <v>0</v>
      </c>
    </row>
    <row r="860" spans="2:3" x14ac:dyDescent="0.25">
      <c r="B860" s="7">
        <v>507</v>
      </c>
      <c r="C860" s="7">
        <v>0</v>
      </c>
    </row>
    <row r="861" spans="2:3" x14ac:dyDescent="0.25">
      <c r="B861" s="7">
        <v>2087</v>
      </c>
      <c r="C861" s="7">
        <v>1</v>
      </c>
    </row>
    <row r="862" spans="2:3" x14ac:dyDescent="0.25">
      <c r="B862" s="7">
        <v>342</v>
      </c>
      <c r="C862" s="7">
        <v>0</v>
      </c>
    </row>
    <row r="863" spans="2:3" x14ac:dyDescent="0.25">
      <c r="B863" s="7">
        <v>963</v>
      </c>
      <c r="C863" s="7">
        <v>1</v>
      </c>
    </row>
    <row r="864" spans="2:3" x14ac:dyDescent="0.25">
      <c r="B864" s="7">
        <v>742</v>
      </c>
      <c r="C864" s="7">
        <v>0</v>
      </c>
    </row>
    <row r="865" spans="2:3" x14ac:dyDescent="0.25">
      <c r="B865" s="7">
        <v>566</v>
      </c>
      <c r="C865" s="7">
        <v>0</v>
      </c>
    </row>
    <row r="866" spans="2:3" x14ac:dyDescent="0.25">
      <c r="B866" s="7">
        <v>332</v>
      </c>
      <c r="C866" s="7">
        <v>0</v>
      </c>
    </row>
    <row r="867" spans="2:3" x14ac:dyDescent="0.25">
      <c r="B867" s="7">
        <v>767</v>
      </c>
      <c r="C867" s="7">
        <v>0</v>
      </c>
    </row>
    <row r="868" spans="2:3" x14ac:dyDescent="0.25">
      <c r="B868" s="7">
        <v>563</v>
      </c>
      <c r="C868" s="7">
        <v>0</v>
      </c>
    </row>
    <row r="869" spans="2:3" x14ac:dyDescent="0.25">
      <c r="B869" s="7">
        <v>711</v>
      </c>
      <c r="C869" s="7">
        <v>0</v>
      </c>
    </row>
    <row r="870" spans="2:3" x14ac:dyDescent="0.25">
      <c r="B870" s="7">
        <v>373</v>
      </c>
      <c r="C870" s="7">
        <v>0</v>
      </c>
    </row>
    <row r="871" spans="2:3" x14ac:dyDescent="0.25">
      <c r="B871" s="7">
        <v>452</v>
      </c>
      <c r="C871" s="7">
        <v>0</v>
      </c>
    </row>
    <row r="872" spans="2:3" x14ac:dyDescent="0.25">
      <c r="B872" s="7">
        <v>879</v>
      </c>
      <c r="C872" s="7">
        <v>1</v>
      </c>
    </row>
    <row r="873" spans="2:3" x14ac:dyDescent="0.25">
      <c r="B873" s="7">
        <v>955</v>
      </c>
      <c r="C873" s="7">
        <v>1</v>
      </c>
    </row>
    <row r="874" spans="2:3" x14ac:dyDescent="0.25">
      <c r="B874" s="7">
        <v>932</v>
      </c>
      <c r="C874" s="7">
        <v>1</v>
      </c>
    </row>
    <row r="875" spans="2:3" x14ac:dyDescent="0.25">
      <c r="B875" s="7">
        <v>596</v>
      </c>
      <c r="C875" s="7">
        <v>0</v>
      </c>
    </row>
    <row r="876" spans="2:3" x14ac:dyDescent="0.25">
      <c r="B876" s="7">
        <v>441</v>
      </c>
      <c r="C876" s="7">
        <v>0</v>
      </c>
    </row>
    <row r="877" spans="2:3" x14ac:dyDescent="0.25">
      <c r="B877" s="7">
        <v>323</v>
      </c>
      <c r="C877" s="7">
        <v>0</v>
      </c>
    </row>
    <row r="878" spans="2:3" x14ac:dyDescent="0.25">
      <c r="B878" s="7">
        <v>253</v>
      </c>
      <c r="C878" s="7">
        <v>0</v>
      </c>
    </row>
    <row r="879" spans="2:3" x14ac:dyDescent="0.25">
      <c r="B879" s="7">
        <v>773</v>
      </c>
      <c r="C879" s="7">
        <v>1</v>
      </c>
    </row>
    <row r="880" spans="2:3" x14ac:dyDescent="0.25">
      <c r="B880" s="7">
        <v>714</v>
      </c>
      <c r="C880" s="7">
        <v>0</v>
      </c>
    </row>
    <row r="881" spans="2:3" x14ac:dyDescent="0.25">
      <c r="B881" s="7">
        <v>491</v>
      </c>
      <c r="C881" s="7">
        <v>0</v>
      </c>
    </row>
    <row r="882" spans="2:3" x14ac:dyDescent="0.25">
      <c r="B882" s="7">
        <v>538</v>
      </c>
      <c r="C882" s="7">
        <v>0</v>
      </c>
    </row>
    <row r="883" spans="2:3" x14ac:dyDescent="0.25">
      <c r="B883" s="7">
        <v>1115</v>
      </c>
      <c r="C883" s="7">
        <v>1</v>
      </c>
    </row>
    <row r="884" spans="2:3" x14ac:dyDescent="0.25">
      <c r="B884" s="7">
        <v>1036</v>
      </c>
      <c r="C884" s="7">
        <v>1</v>
      </c>
    </row>
    <row r="885" spans="2:3" x14ac:dyDescent="0.25">
      <c r="B885" s="7">
        <v>417</v>
      </c>
      <c r="C885" s="7">
        <v>0</v>
      </c>
    </row>
    <row r="886" spans="2:3" x14ac:dyDescent="0.25">
      <c r="B886" s="7">
        <v>513</v>
      </c>
      <c r="C886" s="7">
        <v>0</v>
      </c>
    </row>
    <row r="887" spans="2:3" x14ac:dyDescent="0.25">
      <c r="B887" s="7">
        <v>651</v>
      </c>
      <c r="C887" s="7">
        <v>1</v>
      </c>
    </row>
    <row r="888" spans="2:3" x14ac:dyDescent="0.25">
      <c r="B888" s="7">
        <v>1015</v>
      </c>
      <c r="C888" s="7">
        <v>0</v>
      </c>
    </row>
    <row r="889" spans="2:3" x14ac:dyDescent="0.25">
      <c r="B889" s="7">
        <v>1051</v>
      </c>
      <c r="C889" s="7">
        <v>1</v>
      </c>
    </row>
    <row r="890" spans="2:3" x14ac:dyDescent="0.25">
      <c r="B890" s="7">
        <v>713</v>
      </c>
      <c r="C890" s="7">
        <v>0</v>
      </c>
    </row>
    <row r="891" spans="2:3" x14ac:dyDescent="0.25">
      <c r="B891" s="7">
        <v>1382</v>
      </c>
      <c r="C891" s="7">
        <v>1</v>
      </c>
    </row>
    <row r="892" spans="2:3" x14ac:dyDescent="0.25">
      <c r="B892" s="7">
        <v>944</v>
      </c>
      <c r="C892" s="7">
        <v>1</v>
      </c>
    </row>
    <row r="893" spans="2:3" x14ac:dyDescent="0.25">
      <c r="B893" s="7">
        <v>553</v>
      </c>
      <c r="C893" s="7">
        <v>0</v>
      </c>
    </row>
    <row r="894" spans="2:3" x14ac:dyDescent="0.25">
      <c r="B894" s="7">
        <v>641</v>
      </c>
      <c r="C894" s="7">
        <v>1</v>
      </c>
    </row>
    <row r="895" spans="2:3" x14ac:dyDescent="0.25">
      <c r="B895" s="7">
        <v>1048</v>
      </c>
      <c r="C895" s="7">
        <v>1</v>
      </c>
    </row>
    <row r="896" spans="2:3" x14ac:dyDescent="0.25">
      <c r="B896" s="7">
        <v>490</v>
      </c>
      <c r="C896" s="7">
        <v>0</v>
      </c>
    </row>
    <row r="897" spans="2:3" x14ac:dyDescent="0.25">
      <c r="B897" s="7">
        <v>974</v>
      </c>
      <c r="C897" s="7">
        <v>1</v>
      </c>
    </row>
    <row r="898" spans="2:3" x14ac:dyDescent="0.25">
      <c r="B898" s="7">
        <v>415</v>
      </c>
      <c r="C898" s="7">
        <v>0</v>
      </c>
    </row>
    <row r="899" spans="2:3" x14ac:dyDescent="0.25">
      <c r="B899" s="7">
        <v>827</v>
      </c>
      <c r="C899" s="7">
        <v>0</v>
      </c>
    </row>
    <row r="900" spans="2:3" x14ac:dyDescent="0.25">
      <c r="B900" s="7">
        <v>1124</v>
      </c>
      <c r="C900" s="7">
        <v>1</v>
      </c>
    </row>
    <row r="901" spans="2:3" x14ac:dyDescent="0.25">
      <c r="B901" s="7">
        <v>805</v>
      </c>
      <c r="C901" s="7">
        <v>1</v>
      </c>
    </row>
    <row r="902" spans="2:3" x14ac:dyDescent="0.25">
      <c r="B902" s="7">
        <v>720</v>
      </c>
      <c r="C902" s="7">
        <v>0</v>
      </c>
    </row>
    <row r="903" spans="2:3" x14ac:dyDescent="0.25">
      <c r="B903" s="7">
        <v>617</v>
      </c>
      <c r="C903" s="7">
        <v>1</v>
      </c>
    </row>
    <row r="904" spans="2:3" x14ac:dyDescent="0.25">
      <c r="B904" s="7">
        <v>352</v>
      </c>
      <c r="C904" s="7">
        <v>0</v>
      </c>
    </row>
    <row r="905" spans="2:3" x14ac:dyDescent="0.25">
      <c r="B905" s="7">
        <v>583</v>
      </c>
      <c r="C905" s="7">
        <v>0</v>
      </c>
    </row>
    <row r="906" spans="2:3" x14ac:dyDescent="0.25">
      <c r="B906" s="7">
        <v>343</v>
      </c>
      <c r="C906" s="7">
        <v>0</v>
      </c>
    </row>
    <row r="907" spans="2:3" x14ac:dyDescent="0.25">
      <c r="B907" s="7">
        <v>450</v>
      </c>
      <c r="C907" s="7">
        <v>0</v>
      </c>
    </row>
    <row r="908" spans="2:3" x14ac:dyDescent="0.25">
      <c r="B908" s="7">
        <v>1282</v>
      </c>
      <c r="C908" s="7">
        <v>1</v>
      </c>
    </row>
    <row r="909" spans="2:3" x14ac:dyDescent="0.25">
      <c r="B909" s="7">
        <v>534</v>
      </c>
      <c r="C909" s="7">
        <v>0</v>
      </c>
    </row>
    <row r="910" spans="2:3" x14ac:dyDescent="0.25">
      <c r="B910" s="7">
        <v>528</v>
      </c>
      <c r="C910" s="7">
        <v>0</v>
      </c>
    </row>
    <row r="911" spans="2:3" x14ac:dyDescent="0.25">
      <c r="B911" s="7">
        <v>480</v>
      </c>
      <c r="C911" s="7">
        <v>0</v>
      </c>
    </row>
    <row r="912" spans="2:3" x14ac:dyDescent="0.25">
      <c r="B912" s="7">
        <v>485</v>
      </c>
      <c r="C912" s="7">
        <v>0</v>
      </c>
    </row>
    <row r="913" spans="2:3" x14ac:dyDescent="0.25">
      <c r="B913" s="7">
        <v>1443</v>
      </c>
      <c r="C913" s="7">
        <v>1</v>
      </c>
    </row>
    <row r="914" spans="2:3" x14ac:dyDescent="0.25">
      <c r="B914" s="7">
        <v>192</v>
      </c>
      <c r="C914" s="7">
        <v>0</v>
      </c>
    </row>
    <row r="915" spans="2:3" x14ac:dyDescent="0.25">
      <c r="B915" s="7">
        <v>538</v>
      </c>
      <c r="C915" s="7">
        <v>0</v>
      </c>
    </row>
    <row r="916" spans="2:3" x14ac:dyDescent="0.25">
      <c r="B916" s="7">
        <v>377</v>
      </c>
      <c r="C916" s="7">
        <v>0</v>
      </c>
    </row>
    <row r="917" spans="2:3" x14ac:dyDescent="0.25">
      <c r="B917" s="7">
        <v>355</v>
      </c>
      <c r="C917" s="7">
        <v>0</v>
      </c>
    </row>
    <row r="918" spans="2:3" x14ac:dyDescent="0.25">
      <c r="B918" s="7">
        <v>714</v>
      </c>
      <c r="C918" s="7">
        <v>0</v>
      </c>
    </row>
    <row r="919" spans="2:3" x14ac:dyDescent="0.25">
      <c r="B919" s="7">
        <v>918</v>
      </c>
      <c r="C919" s="7">
        <v>1</v>
      </c>
    </row>
    <row r="920" spans="2:3" x14ac:dyDescent="0.25">
      <c r="B920" s="7">
        <v>423</v>
      </c>
      <c r="C920" s="7">
        <v>0</v>
      </c>
    </row>
    <row r="921" spans="2:3" x14ac:dyDescent="0.25">
      <c r="B921" s="7">
        <v>668</v>
      </c>
      <c r="C921" s="7">
        <v>0</v>
      </c>
    </row>
    <row r="922" spans="2:3" x14ac:dyDescent="0.25">
      <c r="B922" s="7">
        <v>935</v>
      </c>
      <c r="C922" s="7">
        <v>1</v>
      </c>
    </row>
    <row r="923" spans="2:3" x14ac:dyDescent="0.25">
      <c r="B923" s="7">
        <v>707</v>
      </c>
      <c r="C923" s="7">
        <v>0</v>
      </c>
    </row>
    <row r="924" spans="2:3" x14ac:dyDescent="0.25">
      <c r="B924" s="7">
        <v>525</v>
      </c>
      <c r="C924" s="7">
        <v>0</v>
      </c>
    </row>
    <row r="925" spans="2:3" x14ac:dyDescent="0.25">
      <c r="B925" s="7">
        <v>575</v>
      </c>
      <c r="C925" s="7">
        <v>0</v>
      </c>
    </row>
    <row r="926" spans="2:3" x14ac:dyDescent="0.25">
      <c r="B926" s="7">
        <v>626</v>
      </c>
      <c r="C926" s="7">
        <v>0</v>
      </c>
    </row>
    <row r="927" spans="2:3" x14ac:dyDescent="0.25">
      <c r="B927" s="7">
        <v>486</v>
      </c>
      <c r="C927" s="7">
        <v>0</v>
      </c>
    </row>
    <row r="928" spans="2:3" x14ac:dyDescent="0.25">
      <c r="B928" s="7">
        <v>407</v>
      </c>
      <c r="C928" s="7">
        <v>0</v>
      </c>
    </row>
    <row r="929" spans="2:3" x14ac:dyDescent="0.25">
      <c r="B929" s="7">
        <v>584</v>
      </c>
      <c r="C929" s="7">
        <v>0</v>
      </c>
    </row>
    <row r="930" spans="2:3" x14ac:dyDescent="0.25">
      <c r="B930" s="7">
        <v>573</v>
      </c>
      <c r="C930" s="7">
        <v>0</v>
      </c>
    </row>
    <row r="931" spans="2:3" x14ac:dyDescent="0.25">
      <c r="B931" s="7">
        <v>1008</v>
      </c>
      <c r="C931" s="7">
        <v>1</v>
      </c>
    </row>
    <row r="932" spans="2:3" x14ac:dyDescent="0.25">
      <c r="B932" s="7">
        <v>455</v>
      </c>
      <c r="C932" s="7">
        <v>0</v>
      </c>
    </row>
    <row r="933" spans="2:3" x14ac:dyDescent="0.25">
      <c r="B933" s="7">
        <v>856</v>
      </c>
      <c r="C933" s="7">
        <v>0</v>
      </c>
    </row>
    <row r="934" spans="2:3" x14ac:dyDescent="0.25">
      <c r="B934" s="7">
        <v>1307</v>
      </c>
      <c r="C934" s="7">
        <v>1</v>
      </c>
    </row>
    <row r="935" spans="2:3" x14ac:dyDescent="0.25">
      <c r="B935" s="7">
        <v>583</v>
      </c>
      <c r="C935" s="7">
        <v>0</v>
      </c>
    </row>
    <row r="936" spans="2:3" x14ac:dyDescent="0.25">
      <c r="B936" s="7">
        <v>550</v>
      </c>
      <c r="C936" s="7">
        <v>0</v>
      </c>
    </row>
    <row r="937" spans="2:3" x14ac:dyDescent="0.25">
      <c r="B937" s="7">
        <v>461</v>
      </c>
      <c r="C937" s="7">
        <v>0</v>
      </c>
    </row>
    <row r="938" spans="2:3" x14ac:dyDescent="0.25">
      <c r="B938" s="7">
        <v>539</v>
      </c>
      <c r="C938" s="7">
        <v>0</v>
      </c>
    </row>
    <row r="939" spans="2:3" x14ac:dyDescent="0.25">
      <c r="B939" s="7">
        <v>775</v>
      </c>
      <c r="C939" s="7">
        <v>0</v>
      </c>
    </row>
    <row r="940" spans="2:3" x14ac:dyDescent="0.25">
      <c r="B940" s="7">
        <v>1108</v>
      </c>
      <c r="C940" s="7">
        <v>1</v>
      </c>
    </row>
    <row r="941" spans="2:3" x14ac:dyDescent="0.25">
      <c r="B941" s="7">
        <v>1264</v>
      </c>
      <c r="C941" s="7">
        <v>1</v>
      </c>
    </row>
    <row r="942" spans="2:3" x14ac:dyDescent="0.25">
      <c r="B942" s="7">
        <v>887</v>
      </c>
      <c r="C942" s="7">
        <v>1</v>
      </c>
    </row>
    <row r="943" spans="2:3" x14ac:dyDescent="0.25">
      <c r="B943" s="7">
        <v>1653</v>
      </c>
      <c r="C943" s="7">
        <v>1</v>
      </c>
    </row>
    <row r="944" spans="2:3" x14ac:dyDescent="0.25">
      <c r="B944" s="7">
        <v>684</v>
      </c>
      <c r="C944" s="7">
        <v>0</v>
      </c>
    </row>
    <row r="945" spans="2:3" x14ac:dyDescent="0.25">
      <c r="B945" s="7">
        <v>776</v>
      </c>
      <c r="C945" s="7">
        <v>0</v>
      </c>
    </row>
    <row r="946" spans="2:3" x14ac:dyDescent="0.25">
      <c r="B946" s="7">
        <v>1140</v>
      </c>
      <c r="C946" s="7">
        <v>1</v>
      </c>
    </row>
    <row r="947" spans="2:3" x14ac:dyDescent="0.25">
      <c r="B947" s="7">
        <v>444</v>
      </c>
      <c r="C947" s="7">
        <v>0</v>
      </c>
    </row>
    <row r="948" spans="2:3" x14ac:dyDescent="0.25">
      <c r="B948" s="7">
        <v>517</v>
      </c>
      <c r="C948" s="7">
        <v>0</v>
      </c>
    </row>
    <row r="949" spans="2:3" x14ac:dyDescent="0.25">
      <c r="B949" s="7">
        <v>883</v>
      </c>
      <c r="C949" s="7">
        <v>0</v>
      </c>
    </row>
    <row r="950" spans="2:3" x14ac:dyDescent="0.25">
      <c r="B950" s="7">
        <v>615</v>
      </c>
      <c r="C950" s="7">
        <v>0</v>
      </c>
    </row>
    <row r="951" spans="2:3" x14ac:dyDescent="0.25">
      <c r="B951" s="7">
        <v>611</v>
      </c>
      <c r="C951" s="7">
        <v>0</v>
      </c>
    </row>
    <row r="952" spans="2:3" x14ac:dyDescent="0.25">
      <c r="B952" s="7">
        <v>1450</v>
      </c>
      <c r="C952" s="7">
        <v>1</v>
      </c>
    </row>
    <row r="953" spans="2:3" x14ac:dyDescent="0.25">
      <c r="B953" s="7">
        <v>467</v>
      </c>
      <c r="C953" s="7">
        <v>0</v>
      </c>
    </row>
    <row r="954" spans="2:3" x14ac:dyDescent="0.25">
      <c r="B954" s="7">
        <v>1568</v>
      </c>
      <c r="C954" s="7">
        <v>1</v>
      </c>
    </row>
    <row r="955" spans="2:3" x14ac:dyDescent="0.25">
      <c r="B955" s="7">
        <v>471</v>
      </c>
      <c r="C955" s="7">
        <v>0</v>
      </c>
    </row>
    <row r="956" spans="2:3" x14ac:dyDescent="0.25">
      <c r="B956" s="7">
        <v>1657</v>
      </c>
      <c r="C956" s="7">
        <v>1</v>
      </c>
    </row>
    <row r="957" spans="2:3" x14ac:dyDescent="0.25">
      <c r="B957" s="7">
        <v>317</v>
      </c>
      <c r="C957" s="7">
        <v>0</v>
      </c>
    </row>
    <row r="958" spans="2:3" x14ac:dyDescent="0.25">
      <c r="B958" s="7">
        <v>127</v>
      </c>
      <c r="C958" s="7">
        <v>0</v>
      </c>
    </row>
    <row r="959" spans="2:3" x14ac:dyDescent="0.25">
      <c r="B959" s="7">
        <v>768</v>
      </c>
      <c r="C959" s="7">
        <v>0</v>
      </c>
    </row>
    <row r="960" spans="2:3" x14ac:dyDescent="0.25">
      <c r="B960" s="7">
        <v>920</v>
      </c>
      <c r="C960" s="7">
        <v>1</v>
      </c>
    </row>
    <row r="961" spans="2:3" x14ac:dyDescent="0.25">
      <c r="B961" s="7">
        <v>565</v>
      </c>
      <c r="C961" s="7">
        <v>0</v>
      </c>
    </row>
    <row r="962" spans="2:3" x14ac:dyDescent="0.25">
      <c r="B962" s="7">
        <v>527</v>
      </c>
      <c r="C962" s="7">
        <v>0</v>
      </c>
    </row>
    <row r="963" spans="2:3" x14ac:dyDescent="0.25">
      <c r="B963" s="7">
        <v>365</v>
      </c>
      <c r="C963" s="7">
        <v>0</v>
      </c>
    </row>
    <row r="964" spans="2:3" x14ac:dyDescent="0.25">
      <c r="B964" s="7">
        <v>971</v>
      </c>
      <c r="C964" s="7">
        <v>1</v>
      </c>
    </row>
    <row r="965" spans="2:3" x14ac:dyDescent="0.25">
      <c r="B965" s="7">
        <v>452</v>
      </c>
      <c r="C965" s="7">
        <v>0</v>
      </c>
    </row>
    <row r="966" spans="2:3" x14ac:dyDescent="0.25">
      <c r="B966" s="7">
        <v>570</v>
      </c>
      <c r="C966" s="7">
        <v>0</v>
      </c>
    </row>
    <row r="967" spans="2:3" x14ac:dyDescent="0.25">
      <c r="B967" s="7">
        <v>837</v>
      </c>
      <c r="C967" s="7">
        <v>0</v>
      </c>
    </row>
    <row r="968" spans="2:3" x14ac:dyDescent="0.25">
      <c r="B968" s="7">
        <v>559</v>
      </c>
      <c r="C968" s="7">
        <v>0</v>
      </c>
    </row>
    <row r="969" spans="2:3" x14ac:dyDescent="0.25">
      <c r="B969" s="7">
        <v>509</v>
      </c>
      <c r="C969" s="7">
        <v>0</v>
      </c>
    </row>
    <row r="970" spans="2:3" x14ac:dyDescent="0.25">
      <c r="B970" s="7">
        <v>476</v>
      </c>
      <c r="C970" s="7">
        <v>0</v>
      </c>
    </row>
    <row r="971" spans="2:3" x14ac:dyDescent="0.25">
      <c r="B971" s="7">
        <v>658</v>
      </c>
      <c r="C971" s="7">
        <v>0</v>
      </c>
    </row>
    <row r="972" spans="2:3" x14ac:dyDescent="0.25">
      <c r="B972" s="7">
        <v>356</v>
      </c>
      <c r="C972" s="7">
        <v>0</v>
      </c>
    </row>
    <row r="973" spans="2:3" x14ac:dyDescent="0.25">
      <c r="B973" s="7">
        <v>898</v>
      </c>
      <c r="C973" s="7">
        <v>1</v>
      </c>
    </row>
    <row r="974" spans="2:3" x14ac:dyDescent="0.25">
      <c r="B974" s="7">
        <v>247</v>
      </c>
      <c r="C974" s="7">
        <v>0</v>
      </c>
    </row>
    <row r="975" spans="2:3" x14ac:dyDescent="0.25">
      <c r="B975" s="7">
        <v>895</v>
      </c>
      <c r="C975" s="7">
        <v>0</v>
      </c>
    </row>
    <row r="976" spans="2:3" x14ac:dyDescent="0.25">
      <c r="B976" s="7">
        <v>481</v>
      </c>
      <c r="C976" s="7">
        <v>0</v>
      </c>
    </row>
    <row r="977" spans="2:3" x14ac:dyDescent="0.25">
      <c r="B977" s="7">
        <v>571</v>
      </c>
      <c r="C977" s="7">
        <v>0</v>
      </c>
    </row>
    <row r="978" spans="2:3" x14ac:dyDescent="0.25">
      <c r="B978" s="7">
        <v>946</v>
      </c>
      <c r="C978" s="7">
        <v>1</v>
      </c>
    </row>
    <row r="979" spans="2:3" x14ac:dyDescent="0.25">
      <c r="B979" s="7">
        <v>951</v>
      </c>
      <c r="C979" s="7">
        <v>1</v>
      </c>
    </row>
    <row r="980" spans="2:3" x14ac:dyDescent="0.25">
      <c r="B980" s="7">
        <v>238</v>
      </c>
      <c r="C980" s="7">
        <v>0</v>
      </c>
    </row>
    <row r="981" spans="2:3" x14ac:dyDescent="0.25">
      <c r="B981" s="7">
        <v>457</v>
      </c>
      <c r="C981" s="7">
        <v>0</v>
      </c>
    </row>
    <row r="982" spans="2:3" x14ac:dyDescent="0.25">
      <c r="B982" s="7">
        <v>743</v>
      </c>
      <c r="C982" s="7">
        <v>0</v>
      </c>
    </row>
    <row r="983" spans="2:3" x14ac:dyDescent="0.25">
      <c r="B983" s="7">
        <v>961</v>
      </c>
      <c r="C983" s="7">
        <v>1</v>
      </c>
    </row>
    <row r="984" spans="2:3" x14ac:dyDescent="0.25">
      <c r="B984" s="7">
        <v>576</v>
      </c>
      <c r="C984" s="7">
        <v>0</v>
      </c>
    </row>
    <row r="985" spans="2:3" x14ac:dyDescent="0.25">
      <c r="B985" s="7">
        <v>372</v>
      </c>
      <c r="C985" s="7">
        <v>0</v>
      </c>
    </row>
    <row r="986" spans="2:3" x14ac:dyDescent="0.25">
      <c r="B986" s="7">
        <v>1070</v>
      </c>
      <c r="C986" s="7">
        <v>1</v>
      </c>
    </row>
    <row r="987" spans="2:3" x14ac:dyDescent="0.25">
      <c r="B987" s="7">
        <v>763</v>
      </c>
      <c r="C987" s="7">
        <v>0</v>
      </c>
    </row>
    <row r="988" spans="2:3" x14ac:dyDescent="0.25">
      <c r="B988" s="7">
        <v>872</v>
      </c>
      <c r="C988" s="7">
        <v>1</v>
      </c>
    </row>
    <row r="989" spans="2:3" x14ac:dyDescent="0.25">
      <c r="B989" s="7">
        <v>493</v>
      </c>
      <c r="C989" s="7">
        <v>0</v>
      </c>
    </row>
    <row r="990" spans="2:3" x14ac:dyDescent="0.25">
      <c r="B990" s="7">
        <v>794</v>
      </c>
      <c r="C990" s="7">
        <v>0</v>
      </c>
    </row>
    <row r="991" spans="2:3" x14ac:dyDescent="0.25">
      <c r="B991" s="7">
        <v>465</v>
      </c>
      <c r="C991" s="7">
        <v>0</v>
      </c>
    </row>
    <row r="992" spans="2:3" x14ac:dyDescent="0.25">
      <c r="B992" s="7">
        <v>594</v>
      </c>
      <c r="C992" s="7">
        <v>0</v>
      </c>
    </row>
    <row r="993" spans="2:3" x14ac:dyDescent="0.25">
      <c r="B993" s="7">
        <v>305</v>
      </c>
      <c r="C993" s="7">
        <v>0</v>
      </c>
    </row>
    <row r="994" spans="2:3" x14ac:dyDescent="0.25">
      <c r="B994" s="7">
        <v>346</v>
      </c>
      <c r="C994" s="7">
        <v>0</v>
      </c>
    </row>
    <row r="995" spans="2:3" x14ac:dyDescent="0.25">
      <c r="B995" s="7">
        <v>1818</v>
      </c>
      <c r="C995" s="7">
        <v>1</v>
      </c>
    </row>
    <row r="996" spans="2:3" x14ac:dyDescent="0.25">
      <c r="B996" s="7">
        <v>842</v>
      </c>
      <c r="C996" s="7">
        <v>1</v>
      </c>
    </row>
    <row r="997" spans="2:3" x14ac:dyDescent="0.25">
      <c r="B997" s="7">
        <v>753</v>
      </c>
      <c r="C997" s="7">
        <v>0</v>
      </c>
    </row>
    <row r="998" spans="2:3" x14ac:dyDescent="0.25">
      <c r="B998" s="7">
        <v>1406</v>
      </c>
      <c r="C998" s="7">
        <v>1</v>
      </c>
    </row>
    <row r="999" spans="2:3" x14ac:dyDescent="0.25">
      <c r="B999" s="7">
        <v>715</v>
      </c>
      <c r="C999" s="7">
        <v>1</v>
      </c>
    </row>
    <row r="1000" spans="2:3" x14ac:dyDescent="0.25">
      <c r="B1000" s="7">
        <v>1102</v>
      </c>
      <c r="C1000" s="7">
        <v>1</v>
      </c>
    </row>
    <row r="1001" spans="2:3" x14ac:dyDescent="0.25">
      <c r="B1001" s="7">
        <v>1171</v>
      </c>
      <c r="C1001" s="7">
        <v>1</v>
      </c>
    </row>
    <row r="1002" spans="2:3" x14ac:dyDescent="0.25">
      <c r="B1002" s="7">
        <v>532</v>
      </c>
      <c r="C1002" s="7">
        <v>0</v>
      </c>
    </row>
    <row r="1003" spans="2:3" x14ac:dyDescent="0.25">
      <c r="B1003" s="7">
        <v>368</v>
      </c>
      <c r="C1003" s="7">
        <v>0</v>
      </c>
    </row>
    <row r="1004" spans="2:3" x14ac:dyDescent="0.25">
      <c r="B1004" s="7">
        <v>782</v>
      </c>
      <c r="C1004" s="7">
        <v>0</v>
      </c>
    </row>
    <row r="1005" spans="2:3" x14ac:dyDescent="0.25">
      <c r="B1005" s="7">
        <v>335</v>
      </c>
      <c r="C1005" s="7">
        <v>0</v>
      </c>
    </row>
    <row r="1006" spans="2:3" x14ac:dyDescent="0.25">
      <c r="B1006" s="7">
        <v>327</v>
      </c>
      <c r="C1006" s="7">
        <v>0</v>
      </c>
    </row>
    <row r="1007" spans="2:3" x14ac:dyDescent="0.25">
      <c r="B1007" s="7">
        <v>203</v>
      </c>
      <c r="C1007" s="7">
        <v>0</v>
      </c>
    </row>
    <row r="1008" spans="2:3" x14ac:dyDescent="0.25">
      <c r="B1008" s="7">
        <v>394</v>
      </c>
      <c r="C1008" s="7">
        <v>0</v>
      </c>
    </row>
    <row r="1009" spans="2:3" x14ac:dyDescent="0.25">
      <c r="B1009" s="7">
        <v>185</v>
      </c>
      <c r="C1009" s="7">
        <v>0</v>
      </c>
    </row>
    <row r="1010" spans="2:3" x14ac:dyDescent="0.25">
      <c r="B1010" s="7">
        <v>534</v>
      </c>
      <c r="C1010" s="7">
        <v>0</v>
      </c>
    </row>
    <row r="1011" spans="2:3" x14ac:dyDescent="0.25">
      <c r="B1011" s="7">
        <v>587</v>
      </c>
      <c r="C1011" s="7">
        <v>0</v>
      </c>
    </row>
    <row r="1012" spans="2:3" x14ac:dyDescent="0.25">
      <c r="B1012" s="7">
        <v>609</v>
      </c>
      <c r="C1012" s="7">
        <v>0</v>
      </c>
    </row>
    <row r="1013" spans="2:3" x14ac:dyDescent="0.25">
      <c r="B1013" s="7">
        <v>1178</v>
      </c>
      <c r="C1013" s="7">
        <v>1</v>
      </c>
    </row>
    <row r="1014" spans="2:3" x14ac:dyDescent="0.25">
      <c r="B1014" s="7">
        <v>509</v>
      </c>
      <c r="C1014" s="7">
        <v>0</v>
      </c>
    </row>
    <row r="1015" spans="2:3" x14ac:dyDescent="0.25">
      <c r="B1015" s="7">
        <v>268</v>
      </c>
      <c r="C1015" s="7">
        <v>0</v>
      </c>
    </row>
    <row r="1016" spans="2:3" x14ac:dyDescent="0.25">
      <c r="B1016" s="7">
        <v>521</v>
      </c>
      <c r="C1016" s="7">
        <v>0</v>
      </c>
    </row>
    <row r="1017" spans="2:3" x14ac:dyDescent="0.25">
      <c r="B1017" s="7">
        <v>483</v>
      </c>
      <c r="C1017" s="7">
        <v>0</v>
      </c>
    </row>
    <row r="1018" spans="2:3" x14ac:dyDescent="0.25">
      <c r="B1018" s="7">
        <v>847</v>
      </c>
      <c r="C1018" s="7">
        <v>1</v>
      </c>
    </row>
    <row r="1019" spans="2:3" x14ac:dyDescent="0.25">
      <c r="B1019" s="7">
        <v>1024</v>
      </c>
      <c r="C1019" s="7">
        <v>1</v>
      </c>
    </row>
    <row r="1020" spans="2:3" x14ac:dyDescent="0.25">
      <c r="B1020" s="7">
        <v>682</v>
      </c>
      <c r="C1020" s="7">
        <v>0</v>
      </c>
    </row>
  </sheetData>
  <mergeCells count="22">
    <mergeCell ref="B19:C19"/>
    <mergeCell ref="B5:C5"/>
    <mergeCell ref="D5:E5"/>
    <mergeCell ref="F5:G5"/>
    <mergeCell ref="B4:G4"/>
    <mergeCell ref="J4:L4"/>
    <mergeCell ref="B15:D15"/>
    <mergeCell ref="B16:D16"/>
    <mergeCell ref="B17:D17"/>
    <mergeCell ref="E10:F10"/>
    <mergeCell ref="E12:F12"/>
    <mergeCell ref="E13:F13"/>
    <mergeCell ref="E14:F14"/>
    <mergeCell ref="E15:F15"/>
    <mergeCell ref="E16:F16"/>
    <mergeCell ref="E17:F17"/>
    <mergeCell ref="B9:F9"/>
    <mergeCell ref="B10:D10"/>
    <mergeCell ref="B11:D11"/>
    <mergeCell ref="B12:D12"/>
    <mergeCell ref="B13:D13"/>
    <mergeCell ref="B14:D14"/>
  </mergeCells>
  <hyperlinks>
    <hyperlink ref="B5" location="'Data_Partition'!$B$21:$C$620" display="Training Data"/>
    <hyperlink ref="D5" location="'Data_Partition'!$B$621:$C$1020" display="Validation Data"/>
    <hyperlink ref="F5" location="'Data_Partition'!$B$20:$C$1020" display="All Dat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600"/>
  <sheetViews>
    <sheetView showGridLines="0" topLeftCell="A49" workbookViewId="0"/>
  </sheetViews>
  <sheetFormatPr defaultRowHeight="15.75" x14ac:dyDescent="0.25"/>
  <cols>
    <col min="14" max="14" width="9.75" bestFit="1" customWidth="1"/>
  </cols>
  <sheetData>
    <row r="1" spans="2:59" x14ac:dyDescent="0.25">
      <c r="AY1" s="7">
        <v>0</v>
      </c>
      <c r="AZ1" s="7" t="str">
        <f>"0"</f>
        <v>0</v>
      </c>
      <c r="BA1" t="str">
        <f ca="1">IF((OFFSET($A$1, 1 - 1, 51 - 1)) &gt;= (OFFSET($A$1, 77 - 1, 7 - 1)), "1","0")</f>
        <v>0</v>
      </c>
      <c r="BB1">
        <f ca="1" xml:space="preserve"> IF( AND( OFFSET($A$1, 1 - 1, 52 - 1) = "1", OFFSET($A$1, 1 - 1, 53 - 1) = "1" ), 1, IF( AND( OFFSET($A$1, 1 - 1, 52 - 1) = "1", OFFSET($A$1, 1 - 1, 53 - 1) = "0" ), 2, IF( AND( OFFSET($A$1, 1 - 1, 52 - 1) = "0", OFFSET($A$1, 1 - 1, 53 - 1) = "1" ), 3, 4 ) ) )</f>
        <v>4</v>
      </c>
      <c r="BD1" s="7">
        <v>0</v>
      </c>
      <c r="BE1" s="7" t="str">
        <f>"0"</f>
        <v>0</v>
      </c>
      <c r="BF1" t="str">
        <f ca="1">IF((OFFSET($A$1, 1 - 1, 56 - 1)) &gt;= (OFFSET($A$1, 101 - 1, 7 - 1)), "1","0")</f>
        <v>0</v>
      </c>
      <c r="BG1">
        <f ca="1" xml:space="preserve"> IF( AND( OFFSET($A$1, 1 - 1, 57 - 1) = "1", OFFSET($A$1, 1 - 1, 58 - 1) = "1" ), 1, IF( AND( OFFSET($A$1, 1 - 1, 57 - 1) = "1", OFFSET($A$1, 1 - 1, 58 - 1) = "0" ), 2, IF( AND( OFFSET($A$1, 1 - 1, 57 - 1) = "0", OFFSET($A$1, 1 - 1, 58 - 1) = "1" ), 3, 4 ) ) )</f>
        <v>4</v>
      </c>
    </row>
    <row r="2" spans="2:59" ht="18.75" x14ac:dyDescent="0.3">
      <c r="B2" s="5" t="s">
        <v>92</v>
      </c>
      <c r="N2" t="s">
        <v>24</v>
      </c>
      <c r="AY2" s="7">
        <v>0</v>
      </c>
      <c r="AZ2" s="7" t="str">
        <f>"0"</f>
        <v>0</v>
      </c>
      <c r="BA2" t="str">
        <f ca="1">IF((OFFSET($A$1, 2 - 1, 51 - 1)) &gt;= (OFFSET($A$1, 77 - 1, 7 - 1)), "1","0")</f>
        <v>0</v>
      </c>
      <c r="BB2">
        <f ca="1" xml:space="preserve"> IF( AND( OFFSET($A$1, 2 - 1, 52 - 1) = "1", OFFSET($A$1, 2 - 1, 53 - 1) = "1" ), 1, IF( AND( OFFSET($A$1, 2 - 1, 52 - 1) = "1", OFFSET($A$1, 2 - 1, 53 - 1) = "0" ), 2, IF( AND( OFFSET($A$1, 2 - 1, 52 - 1) = "0", OFFSET($A$1, 2 - 1, 53 - 1) = "1" ), 3, 4 ) ) )</f>
        <v>4</v>
      </c>
      <c r="BD2" s="7">
        <v>0.41176470588235292</v>
      </c>
      <c r="BE2" s="7" t="str">
        <f>"0"</f>
        <v>0</v>
      </c>
      <c r="BF2" t="str">
        <f ca="1">IF((OFFSET($A$1, 2 - 1, 56 - 1)) &gt;= (OFFSET($A$1, 101 - 1, 7 - 1)), "1","0")</f>
        <v>0</v>
      </c>
      <c r="BG2">
        <f ca="1" xml:space="preserve"> IF( AND( OFFSET($A$1, 2 - 1, 57 - 1) = "1", OFFSET($A$1, 2 - 1, 58 - 1) = "1" ), 1, IF( AND( OFFSET($A$1, 2 - 1, 57 - 1) = "1", OFFSET($A$1, 2 - 1, 58 - 1) = "0" ), 2, IF( AND( OFFSET($A$1, 2 - 1, 57 - 1) = "0", OFFSET($A$1, 2 - 1, 58 - 1) = "1" ), 3, 4 ) ) )</f>
        <v>4</v>
      </c>
    </row>
    <row r="3" spans="2:59" x14ac:dyDescent="0.25">
      <c r="AY3" s="7">
        <v>5.8823529411764705E-2</v>
      </c>
      <c r="AZ3" s="7" t="str">
        <f>"1"</f>
        <v>1</v>
      </c>
      <c r="BA3" t="str">
        <f ca="1">IF((OFFSET($A$1, 3 - 1, 51 - 1)) &gt;= (OFFSET($A$1, 77 - 1, 7 - 1)), "1","0")</f>
        <v>0</v>
      </c>
      <c r="BB3">
        <f ca="1" xml:space="preserve"> IF( AND( OFFSET($A$1, 3 - 1, 52 - 1) = "1", OFFSET($A$1, 3 - 1, 53 - 1) = "1" ), 1, IF( AND( OFFSET($A$1, 3 - 1, 52 - 1) = "1", OFFSET($A$1, 3 - 1, 53 - 1) = "0" ), 2, IF( AND( OFFSET($A$1, 3 - 1, 52 - 1) = "0", OFFSET($A$1, 3 - 1, 53 - 1) = "1" ), 3, 4 ) ) )</f>
        <v>2</v>
      </c>
      <c r="BD3" s="7">
        <v>0</v>
      </c>
      <c r="BE3" s="7" t="str">
        <f>"0"</f>
        <v>0</v>
      </c>
      <c r="BF3" t="str">
        <f ca="1">IF((OFFSET($A$1, 3 - 1, 56 - 1)) &gt;= (OFFSET($A$1, 101 - 1, 7 - 1)), "1","0")</f>
        <v>0</v>
      </c>
      <c r="BG3">
        <f ca="1" xml:space="preserve"> IF( AND( OFFSET($A$1, 3 - 1, 57 - 1) = "1", OFFSET($A$1, 3 - 1, 58 - 1) = "1" ), 1, IF( AND( OFFSET($A$1, 3 - 1, 57 - 1) = "1", OFFSET($A$1, 3 - 1, 58 - 1) = "0" ), 2, IF( AND( OFFSET($A$1, 3 - 1, 57 - 1) = "0", OFFSET($A$1, 3 - 1, 58 - 1) = "1" ), 3, 4 ) ) )</f>
        <v>4</v>
      </c>
    </row>
    <row r="4" spans="2:59" x14ac:dyDescent="0.25">
      <c r="B4" s="11" t="s">
        <v>5</v>
      </c>
      <c r="C4" s="12"/>
      <c r="D4" s="12"/>
      <c r="E4" s="12"/>
      <c r="F4" s="12"/>
      <c r="G4" s="12"/>
      <c r="H4" s="12"/>
      <c r="I4" s="12"/>
      <c r="J4" s="12"/>
      <c r="K4" s="13"/>
      <c r="N4" s="11" t="s">
        <v>6</v>
      </c>
      <c r="O4" s="12"/>
      <c r="P4" s="12"/>
      <c r="Q4" s="13"/>
      <c r="AY4" s="7">
        <v>0</v>
      </c>
      <c r="AZ4" s="7" t="str">
        <f>"0"</f>
        <v>0</v>
      </c>
      <c r="BA4" t="str">
        <f ca="1">IF((OFFSET($A$1, 4 - 1, 51 - 1)) &gt;= (OFFSET($A$1, 77 - 1, 7 - 1)), "1","0")</f>
        <v>0</v>
      </c>
      <c r="BB4">
        <f ca="1" xml:space="preserve"> IF( AND( OFFSET($A$1, 4 - 1, 52 - 1) = "1", OFFSET($A$1, 4 - 1, 53 - 1) = "1" ), 1, IF( AND( OFFSET($A$1, 4 - 1, 52 - 1) = "1", OFFSET($A$1, 4 - 1, 53 - 1) = "0" ), 2, IF( AND( OFFSET($A$1, 4 - 1, 52 - 1) = "0", OFFSET($A$1, 4 - 1, 53 - 1) = "1" ), 3, 4 ) ) )</f>
        <v>4</v>
      </c>
      <c r="BD4" s="7">
        <v>0</v>
      </c>
      <c r="BE4" s="7" t="str">
        <f>"0"</f>
        <v>0</v>
      </c>
      <c r="BF4" t="str">
        <f ca="1">IF((OFFSET($A$1, 4 - 1, 56 - 1)) &gt;= (OFFSET($A$1, 101 - 1, 7 - 1)), "1","0")</f>
        <v>0</v>
      </c>
      <c r="BG4">
        <f ca="1" xml:space="preserve"> IF( AND( OFFSET($A$1, 4 - 1, 57 - 1) = "1", OFFSET($A$1, 4 - 1, 58 - 1) = "1" ), 1, IF( AND( OFFSET($A$1, 4 - 1, 57 - 1) = "1", OFFSET($A$1, 4 - 1, 58 - 1) = "0" ), 2, IF( AND( OFFSET($A$1, 4 - 1, 57 - 1) = "0", OFFSET($A$1, 4 - 1, 58 - 1) = "1" ), 3, 4 ) ) )</f>
        <v>4</v>
      </c>
    </row>
    <row r="5" spans="2:59" x14ac:dyDescent="0.25">
      <c r="B5" s="21" t="s">
        <v>67</v>
      </c>
      <c r="C5" s="18"/>
      <c r="D5" s="21" t="s">
        <v>68</v>
      </c>
      <c r="E5" s="18"/>
      <c r="F5" s="21" t="s">
        <v>69</v>
      </c>
      <c r="G5" s="18"/>
      <c r="H5" s="21" t="s">
        <v>70</v>
      </c>
      <c r="I5" s="18"/>
      <c r="J5" s="21" t="s">
        <v>71</v>
      </c>
      <c r="K5" s="18"/>
      <c r="N5" s="10" t="s">
        <v>56</v>
      </c>
      <c r="O5" s="10" t="s">
        <v>57</v>
      </c>
      <c r="P5" s="10" t="s">
        <v>58</v>
      </c>
      <c r="Q5" s="10" t="s">
        <v>9</v>
      </c>
      <c r="AY5" s="7">
        <v>0</v>
      </c>
      <c r="AZ5" s="7" t="str">
        <f>"0"</f>
        <v>0</v>
      </c>
      <c r="BA5" t="str">
        <f ca="1">IF((OFFSET($A$1, 5 - 1, 51 - 1)) &gt;= (OFFSET($A$1, 77 - 1, 7 - 1)), "1","0")</f>
        <v>0</v>
      </c>
      <c r="BB5">
        <f ca="1" xml:space="preserve"> IF( AND( OFFSET($A$1, 5 - 1, 52 - 1) = "1", OFFSET($A$1, 5 - 1, 53 - 1) = "1" ), 1, IF( AND( OFFSET($A$1, 5 - 1, 52 - 1) = "1", OFFSET($A$1, 5 - 1, 53 - 1) = "0" ), 2, IF( AND( OFFSET($A$1, 5 - 1, 52 - 1) = "0", OFFSET($A$1, 5 - 1, 53 - 1) = "1" ), 3, 4 ) ) )</f>
        <v>4</v>
      </c>
      <c r="BD5" s="7">
        <v>0.82352941176470584</v>
      </c>
      <c r="BE5" s="7" t="str">
        <f>"0"</f>
        <v>0</v>
      </c>
      <c r="BF5" t="str">
        <f ca="1">IF((OFFSET($A$1, 5 - 1, 56 - 1)) &gt;= (OFFSET($A$1, 101 - 1, 7 - 1)), "1","0")</f>
        <v>1</v>
      </c>
      <c r="BG5">
        <f ca="1" xml:space="preserve"> IF( AND( OFFSET($A$1, 5 - 1, 57 - 1) = "1", OFFSET($A$1, 5 - 1, 58 - 1) = "1" ), 1, IF( AND( OFFSET($A$1, 5 - 1, 57 - 1) = "1", OFFSET($A$1, 5 - 1, 58 - 1) = "0" ), 2, IF( AND( OFFSET($A$1, 5 - 1, 57 - 1) = "0", OFFSET($A$1, 5 - 1, 58 - 1) = "1" ), 3, 4 ) ) )</f>
        <v>3</v>
      </c>
    </row>
    <row r="6" spans="2:59" x14ac:dyDescent="0.25">
      <c r="B6" s="21" t="s">
        <v>72</v>
      </c>
      <c r="C6" s="18"/>
      <c r="D6" s="21" t="s">
        <v>73</v>
      </c>
      <c r="E6" s="18"/>
      <c r="F6" s="21" t="s">
        <v>74</v>
      </c>
      <c r="G6" s="18"/>
      <c r="H6" s="17"/>
      <c r="I6" s="18"/>
      <c r="J6" s="17"/>
      <c r="K6" s="18"/>
      <c r="N6" s="7">
        <v>0</v>
      </c>
      <c r="O6" s="7">
        <v>31</v>
      </c>
      <c r="P6" s="7">
        <v>16</v>
      </c>
      <c r="Q6" s="7">
        <v>47</v>
      </c>
      <c r="AY6" s="7">
        <v>0</v>
      </c>
      <c r="AZ6" s="7" t="str">
        <f>"0"</f>
        <v>0</v>
      </c>
      <c r="BA6" t="str">
        <f ca="1">IF((OFFSET($A$1, 6 - 1, 51 - 1)) &gt;= (OFFSET($A$1, 77 - 1, 7 - 1)), "1","0")</f>
        <v>0</v>
      </c>
      <c r="BB6">
        <f ca="1" xml:space="preserve"> IF( AND( OFFSET($A$1, 6 - 1, 52 - 1) = "1", OFFSET($A$1, 6 - 1, 53 - 1) = "1" ), 1, IF( AND( OFFSET($A$1, 6 - 1, 52 - 1) = "1", OFFSET($A$1, 6 - 1, 53 - 1) = "0" ), 2, IF( AND( OFFSET($A$1, 6 - 1, 52 - 1) = "0", OFFSET($A$1, 6 - 1, 53 - 1) = "1" ), 3, 4 ) ) )</f>
        <v>4</v>
      </c>
      <c r="BD6" s="7">
        <v>0</v>
      </c>
      <c r="BE6" s="7" t="str">
        <f>"0"</f>
        <v>0</v>
      </c>
      <c r="BF6" t="str">
        <f ca="1">IF((OFFSET($A$1, 6 - 1, 56 - 1)) &gt;= (OFFSET($A$1, 101 - 1, 7 - 1)), "1","0")</f>
        <v>0</v>
      </c>
      <c r="BG6">
        <f ca="1" xml:space="preserve"> IF( AND( OFFSET($A$1, 6 - 1, 57 - 1) = "1", OFFSET($A$1, 6 - 1, 58 - 1) = "1" ), 1, IF( AND( OFFSET($A$1, 6 - 1, 57 - 1) = "1", OFFSET($A$1, 6 - 1, 58 - 1) = "0" ), 2, IF( AND( OFFSET($A$1, 6 - 1, 57 - 1) = "0", OFFSET($A$1, 6 - 1, 58 - 1) = "1" ), 3, 4 ) ) )</f>
        <v>4</v>
      </c>
    </row>
    <row r="7" spans="2:59" x14ac:dyDescent="0.25">
      <c r="AY7" s="7">
        <v>0</v>
      </c>
      <c r="AZ7" s="7" t="str">
        <f>"0"</f>
        <v>0</v>
      </c>
      <c r="BA7" t="str">
        <f ca="1">IF((OFFSET($A$1, 7 - 1, 51 - 1)) &gt;= (OFFSET($A$1, 77 - 1, 7 - 1)), "1","0")</f>
        <v>0</v>
      </c>
      <c r="BB7">
        <f ca="1" xml:space="preserve"> IF( AND( OFFSET($A$1, 7 - 1, 52 - 1) = "1", OFFSET($A$1, 7 - 1, 53 - 1) = "1" ), 1, IF( AND( OFFSET($A$1, 7 - 1, 52 - 1) = "1", OFFSET($A$1, 7 - 1, 53 - 1) = "0" ), 2, IF( AND( OFFSET($A$1, 7 - 1, 52 - 1) = "0", OFFSET($A$1, 7 - 1, 53 - 1) = "1" ), 3, 4 ) ) )</f>
        <v>4</v>
      </c>
      <c r="BD7" s="7">
        <v>0</v>
      </c>
      <c r="BE7" s="7" t="str">
        <f>"0"</f>
        <v>0</v>
      </c>
      <c r="BF7" t="str">
        <f ca="1">IF((OFFSET($A$1, 7 - 1, 56 - 1)) &gt;= (OFFSET($A$1, 101 - 1, 7 - 1)), "1","0")</f>
        <v>0</v>
      </c>
      <c r="BG7">
        <f ca="1" xml:space="preserve"> IF( AND( OFFSET($A$1, 7 - 1, 57 - 1) = "1", OFFSET($A$1, 7 - 1, 58 - 1) = "1" ), 1, IF( AND( OFFSET($A$1, 7 - 1, 57 - 1) = "1", OFFSET($A$1, 7 - 1, 58 - 1) = "0" ), 2, IF( AND( OFFSET($A$1, 7 - 1, 57 - 1) = "0", OFFSET($A$1, 7 - 1, 58 - 1) = "1" ), 3, 4 ) ) )</f>
        <v>4</v>
      </c>
    </row>
    <row r="8" spans="2:59" x14ac:dyDescent="0.25">
      <c r="AY8" s="7">
        <v>0</v>
      </c>
      <c r="AZ8" s="7" t="str">
        <f>"0"</f>
        <v>0</v>
      </c>
      <c r="BA8" t="str">
        <f ca="1">IF((OFFSET($A$1, 8 - 1, 51 - 1)) &gt;= (OFFSET($A$1, 77 - 1, 7 - 1)), "1","0")</f>
        <v>0</v>
      </c>
      <c r="BB8">
        <f ca="1" xml:space="preserve"> IF( AND( OFFSET($A$1, 8 - 1, 52 - 1) = "1", OFFSET($A$1, 8 - 1, 53 - 1) = "1" ), 1, IF( AND( OFFSET($A$1, 8 - 1, 52 - 1) = "1", OFFSET($A$1, 8 - 1, 53 - 1) = "0" ), 2, IF( AND( OFFSET($A$1, 8 - 1, 52 - 1) = "0", OFFSET($A$1, 8 - 1, 53 - 1) = "1" ), 3, 4 ) ) )</f>
        <v>4</v>
      </c>
      <c r="BD8" s="7">
        <v>1</v>
      </c>
      <c r="BE8" s="7" t="str">
        <f>"1"</f>
        <v>1</v>
      </c>
      <c r="BF8" t="str">
        <f ca="1">IF((OFFSET($A$1, 8 - 1, 56 - 1)) &gt;= (OFFSET($A$1, 101 - 1, 7 - 1)), "1","0")</f>
        <v>1</v>
      </c>
      <c r="BG8">
        <f ca="1" xml:space="preserve"> IF( AND( OFFSET($A$1, 8 - 1, 57 - 1) = "1", OFFSET($A$1, 8 - 1, 58 - 1) = "1" ), 1, IF( AND( OFFSET($A$1, 8 - 1, 57 - 1) = "1", OFFSET($A$1, 8 - 1, 58 - 1) = "0" ), 2, IF( AND( OFFSET($A$1, 8 - 1, 57 - 1) = "0", OFFSET($A$1, 8 - 1, 58 - 1) = "1" ), 3, 4 ) ) )</f>
        <v>1</v>
      </c>
    </row>
    <row r="9" spans="2:59" x14ac:dyDescent="0.25">
      <c r="AY9" s="7">
        <v>5.8823529411764705E-2</v>
      </c>
      <c r="AZ9" s="7" t="str">
        <f>"0"</f>
        <v>0</v>
      </c>
      <c r="BA9" t="str">
        <f ca="1">IF((OFFSET($A$1, 9 - 1, 51 - 1)) &gt;= (OFFSET($A$1, 77 - 1, 7 - 1)), "1","0")</f>
        <v>0</v>
      </c>
      <c r="BB9">
        <f ca="1" xml:space="preserve"> IF( AND( OFFSET($A$1, 9 - 1, 52 - 1) = "1", OFFSET($A$1, 9 - 1, 53 - 1) = "1" ), 1, IF( AND( OFFSET($A$1, 9 - 1, 52 - 1) = "1", OFFSET($A$1, 9 - 1, 53 - 1) = "0" ), 2, IF( AND( OFFSET($A$1, 9 - 1, 52 - 1) = "0", OFFSET($A$1, 9 - 1, 53 - 1) = "1" ), 3, 4 ) ) )</f>
        <v>4</v>
      </c>
      <c r="BD9" s="7">
        <v>0.23529411764705882</v>
      </c>
      <c r="BE9" s="7" t="str">
        <f>"0"</f>
        <v>0</v>
      </c>
      <c r="BF9" t="str">
        <f ca="1">IF((OFFSET($A$1, 9 - 1, 56 - 1)) &gt;= (OFFSET($A$1, 101 - 1, 7 - 1)), "1","0")</f>
        <v>0</v>
      </c>
      <c r="BG9">
        <f ca="1" xml:space="preserve"> IF( AND( OFFSET($A$1, 9 - 1, 57 - 1) = "1", OFFSET($A$1, 9 - 1, 58 - 1) = "1" ), 1, IF( AND( OFFSET($A$1, 9 - 1, 57 - 1) = "1", OFFSET($A$1, 9 - 1, 58 - 1) = "0" ), 2, IF( AND( OFFSET($A$1, 9 - 1, 57 - 1) = "0", OFFSET($A$1, 9 - 1, 58 - 1) = "1" ), 3, 4 ) ) )</f>
        <v>4</v>
      </c>
    </row>
    <row r="10" spans="2:59" x14ac:dyDescent="0.25">
      <c r="AY10" s="7">
        <v>5.8823529411764705E-2</v>
      </c>
      <c r="AZ10" s="7" t="str">
        <f>"0"</f>
        <v>0</v>
      </c>
      <c r="BA10" t="str">
        <f ca="1">IF((OFFSET($A$1, 10 - 1, 51 - 1)) &gt;= (OFFSET($A$1, 77 - 1, 7 - 1)), "1","0")</f>
        <v>0</v>
      </c>
      <c r="BB10">
        <f ca="1" xml:space="preserve"> IF( AND( OFFSET($A$1, 10 - 1, 52 - 1) = "1", OFFSET($A$1, 10 - 1, 53 - 1) = "1" ), 1, IF( AND( OFFSET($A$1, 10 - 1, 52 - 1) = "1", OFFSET($A$1, 10 - 1, 53 - 1) = "0" ), 2, IF( AND( OFFSET($A$1, 10 - 1, 52 - 1) = "0", OFFSET($A$1, 10 - 1, 53 - 1) = "1" ), 3, 4 ) ) )</f>
        <v>4</v>
      </c>
      <c r="BD10" s="7">
        <v>0.29411764705882354</v>
      </c>
      <c r="BE10" s="7" t="str">
        <f>"0"</f>
        <v>0</v>
      </c>
      <c r="BF10" t="str">
        <f ca="1">IF((OFFSET($A$1, 10 - 1, 56 - 1)) &gt;= (OFFSET($A$1, 101 - 1, 7 - 1)), "1","0")</f>
        <v>0</v>
      </c>
      <c r="BG10">
        <f ca="1" xml:space="preserve"> IF( AND( OFFSET($A$1, 10 - 1, 57 - 1) = "1", OFFSET($A$1, 10 - 1, 58 - 1) = "1" ), 1, IF( AND( OFFSET($A$1, 10 - 1, 57 - 1) = "1", OFFSET($A$1, 10 - 1, 58 - 1) = "0" ), 2, IF( AND( OFFSET($A$1, 10 - 1, 57 - 1) = "0", OFFSET($A$1, 10 - 1, 58 - 1) = "1" ), 3, 4 ) ) )</f>
        <v>4</v>
      </c>
    </row>
    <row r="11" spans="2:59" x14ac:dyDescent="0.25">
      <c r="AY11" s="7">
        <v>5.8823529411764705E-2</v>
      </c>
      <c r="AZ11" s="7" t="str">
        <f>"0"</f>
        <v>0</v>
      </c>
      <c r="BA11" t="str">
        <f ca="1">IF((OFFSET($A$1, 11 - 1, 51 - 1)) &gt;= (OFFSET($A$1, 77 - 1, 7 - 1)), "1","0")</f>
        <v>0</v>
      </c>
      <c r="BB11">
        <f ca="1" xml:space="preserve"> IF( AND( OFFSET($A$1, 11 - 1, 52 - 1) = "1", OFFSET($A$1, 11 - 1, 53 - 1) = "1" ), 1, IF( AND( OFFSET($A$1, 11 - 1, 52 - 1) = "1", OFFSET($A$1, 11 - 1, 53 - 1) = "0" ), 2, IF( AND( OFFSET($A$1, 11 - 1, 52 - 1) = "0", OFFSET($A$1, 11 - 1, 53 - 1) = "1" ), 3, 4 ) ) )</f>
        <v>4</v>
      </c>
      <c r="BD11" s="7">
        <v>0</v>
      </c>
      <c r="BE11" s="7" t="str">
        <f>"0"</f>
        <v>0</v>
      </c>
      <c r="BF11" t="str">
        <f ca="1">IF((OFFSET($A$1, 11 - 1, 56 - 1)) &gt;= (OFFSET($A$1, 101 - 1, 7 - 1)), "1","0")</f>
        <v>0</v>
      </c>
      <c r="BG11">
        <f ca="1" xml:space="preserve"> IF( AND( OFFSET($A$1, 11 - 1, 57 - 1) = "1", OFFSET($A$1, 11 - 1, 58 - 1) = "1" ), 1, IF( AND( OFFSET($A$1, 11 - 1, 57 - 1) = "1", OFFSET($A$1, 11 - 1, 58 - 1) = "0" ), 2, IF( AND( OFFSET($A$1, 11 - 1, 57 - 1) = "0", OFFSET($A$1, 11 - 1, 58 - 1) = "1" ), 3, 4 ) ) )</f>
        <v>4</v>
      </c>
    </row>
    <row r="12" spans="2:59" ht="18.75" x14ac:dyDescent="0.3">
      <c r="B12" s="25" t="s">
        <v>68</v>
      </c>
      <c r="AY12" s="7">
        <v>0.29411764705882354</v>
      </c>
      <c r="AZ12" s="7" t="str">
        <f>"0"</f>
        <v>0</v>
      </c>
      <c r="BA12" t="str">
        <f ca="1">IF((OFFSET($A$1, 12 - 1, 51 - 1)) &gt;= (OFFSET($A$1, 77 - 1, 7 - 1)), "1","0")</f>
        <v>0</v>
      </c>
      <c r="BB12">
        <f ca="1" xml:space="preserve"> IF( AND( OFFSET($A$1, 12 - 1, 52 - 1) = "1", OFFSET($A$1, 12 - 1, 53 - 1) = "1" ), 1, IF( AND( OFFSET($A$1, 12 - 1, 52 - 1) = "1", OFFSET($A$1, 12 - 1, 53 - 1) = "0" ), 2, IF( AND( OFFSET($A$1, 12 - 1, 52 - 1) = "0", OFFSET($A$1, 12 - 1, 53 - 1) = "1" ), 3, 4 ) ) )</f>
        <v>4</v>
      </c>
      <c r="BD12" s="7">
        <v>0.70588235294117652</v>
      </c>
      <c r="BE12" s="7" t="str">
        <f>"1"</f>
        <v>1</v>
      </c>
      <c r="BF12" t="str">
        <f ca="1">IF((OFFSET($A$1, 12 - 1, 56 - 1)) &gt;= (OFFSET($A$1, 101 - 1, 7 - 1)), "1","0")</f>
        <v>1</v>
      </c>
      <c r="BG12">
        <f ca="1" xml:space="preserve"> IF( AND( OFFSET($A$1, 12 - 1, 57 - 1) = "1", OFFSET($A$1, 12 - 1, 58 - 1) = "1" ), 1, IF( AND( OFFSET($A$1, 12 - 1, 57 - 1) = "1", OFFSET($A$1, 12 - 1, 58 - 1) = "0" ), 2, IF( AND( OFFSET($A$1, 12 - 1, 57 - 1) = "0", OFFSET($A$1, 12 - 1, 58 - 1) = "1" ), 3, 4 ) ) )</f>
        <v>1</v>
      </c>
    </row>
    <row r="13" spans="2:59" x14ac:dyDescent="0.25">
      <c r="AY13" s="7">
        <v>0.35294117647058826</v>
      </c>
      <c r="AZ13" s="7" t="str">
        <f>"1"</f>
        <v>1</v>
      </c>
      <c r="BA13" t="str">
        <f ca="1">IF((OFFSET($A$1, 13 - 1, 51 - 1)) &gt;= (OFFSET($A$1, 77 - 1, 7 - 1)), "1","0")</f>
        <v>0</v>
      </c>
      <c r="BB13">
        <f ca="1" xml:space="preserve"> IF( AND( OFFSET($A$1, 13 - 1, 52 - 1) = "1", OFFSET($A$1, 13 - 1, 53 - 1) = "1" ), 1, IF( AND( OFFSET($A$1, 13 - 1, 52 - 1) = "1", OFFSET($A$1, 13 - 1, 53 - 1) = "0" ), 2, IF( AND( OFFSET($A$1, 13 - 1, 52 - 1) = "0", OFFSET($A$1, 13 - 1, 53 - 1) = "1" ), 3, 4 ) ) )</f>
        <v>2</v>
      </c>
      <c r="BD13" s="7">
        <v>0.17647058823529413</v>
      </c>
      <c r="BE13" s="7" t="str">
        <f>"0"</f>
        <v>0</v>
      </c>
      <c r="BF13" t="str">
        <f ca="1">IF((OFFSET($A$1, 13 - 1, 56 - 1)) &gt;= (OFFSET($A$1, 101 - 1, 7 - 1)), "1","0")</f>
        <v>0</v>
      </c>
      <c r="BG13">
        <f ca="1" xml:space="preserve"> IF( AND( OFFSET($A$1, 13 - 1, 57 - 1) = "1", OFFSET($A$1, 13 - 1, 58 - 1) = "1" ), 1, IF( AND( OFFSET($A$1, 13 - 1, 57 - 1) = "1", OFFSET($A$1, 13 - 1, 58 - 1) = "0" ), 2, IF( AND( OFFSET($A$1, 13 - 1, 57 - 1) = "0", OFFSET($A$1, 13 - 1, 58 - 1) = "1" ), 3, 4 ) ) )</f>
        <v>4</v>
      </c>
    </row>
    <row r="14" spans="2:59" x14ac:dyDescent="0.25">
      <c r="C14" s="11" t="s">
        <v>10</v>
      </c>
      <c r="D14" s="12"/>
      <c r="E14" s="12"/>
      <c r="F14" s="12"/>
      <c r="G14" s="12"/>
      <c r="H14" s="12"/>
      <c r="I14" s="12"/>
      <c r="J14" s="12"/>
      <c r="K14" s="13"/>
      <c r="AY14" s="7">
        <v>0.29411764705882354</v>
      </c>
      <c r="AZ14" s="7" t="str">
        <f>"0"</f>
        <v>0</v>
      </c>
      <c r="BA14" t="str">
        <f ca="1">IF((OFFSET($A$1, 14 - 1, 51 - 1)) &gt;= (OFFSET($A$1, 77 - 1, 7 - 1)), "1","0")</f>
        <v>0</v>
      </c>
      <c r="BB14">
        <f ca="1" xml:space="preserve"> IF( AND( OFFSET($A$1, 14 - 1, 52 - 1) = "1", OFFSET($A$1, 14 - 1, 53 - 1) = "1" ), 1, IF( AND( OFFSET($A$1, 14 - 1, 52 - 1) = "1", OFFSET($A$1, 14 - 1, 53 - 1) = "0" ), 2, IF( AND( OFFSET($A$1, 14 - 1, 52 - 1) = "0", OFFSET($A$1, 14 - 1, 53 - 1) = "1" ), 3, 4 ) ) )</f>
        <v>4</v>
      </c>
      <c r="BD14" s="7">
        <v>0.47058823529411764</v>
      </c>
      <c r="BE14" s="7" t="str">
        <f>"0"</f>
        <v>0</v>
      </c>
      <c r="BF14" t="str">
        <f ca="1">IF((OFFSET($A$1, 14 - 1, 56 - 1)) &gt;= (OFFSET($A$1, 101 - 1, 7 - 1)), "1","0")</f>
        <v>0</v>
      </c>
      <c r="BG14">
        <f ca="1" xml:space="preserve"> IF( AND( OFFSET($A$1, 14 - 1, 57 - 1) = "1", OFFSET($A$1, 14 - 1, 58 - 1) = "1" ), 1, IF( AND( OFFSET($A$1, 14 - 1, 57 - 1) = "1", OFFSET($A$1, 14 - 1, 58 - 1) = "0" ), 2, IF( AND( OFFSET($A$1, 14 - 1, 57 - 1) = "0", OFFSET($A$1, 14 - 1, 58 - 1) = "1" ), 3, 4 ) ) )</f>
        <v>4</v>
      </c>
    </row>
    <row r="15" spans="2:59" x14ac:dyDescent="0.25">
      <c r="C15" s="14" t="s">
        <v>59</v>
      </c>
      <c r="D15" s="15"/>
      <c r="E15" s="15"/>
      <c r="F15" s="16"/>
      <c r="G15" s="19" t="s">
        <v>60</v>
      </c>
      <c r="H15" s="29"/>
      <c r="I15" s="29"/>
      <c r="J15" s="29"/>
      <c r="K15" s="20"/>
      <c r="AY15" s="7">
        <v>0.29411764705882354</v>
      </c>
      <c r="AZ15" s="7" t="str">
        <f>"1"</f>
        <v>1</v>
      </c>
      <c r="BA15" t="str">
        <f ca="1">IF((OFFSET($A$1, 15 - 1, 51 - 1)) &gt;= (OFFSET($A$1, 77 - 1, 7 - 1)), "1","0")</f>
        <v>0</v>
      </c>
      <c r="BB15">
        <f ca="1" xml:space="preserve"> IF( AND( OFFSET($A$1, 15 - 1, 52 - 1) = "1", OFFSET($A$1, 15 - 1, 53 - 1) = "1" ), 1, IF( AND( OFFSET($A$1, 15 - 1, 52 - 1) = "1", OFFSET($A$1, 15 - 1, 53 - 1) = "0" ), 2, IF( AND( OFFSET($A$1, 15 - 1, 52 - 1) = "0", OFFSET($A$1, 15 - 1, 53 - 1) = "1" ), 3, 4 ) ) )</f>
        <v>2</v>
      </c>
      <c r="BD15" s="7">
        <v>0</v>
      </c>
      <c r="BE15" s="7" t="str">
        <f>"0"</f>
        <v>0</v>
      </c>
      <c r="BF15" t="str">
        <f ca="1">IF((OFFSET($A$1, 15 - 1, 56 - 1)) &gt;= (OFFSET($A$1, 101 - 1, 7 - 1)), "1","0")</f>
        <v>0</v>
      </c>
      <c r="BG15">
        <f ca="1" xml:space="preserve"> IF( AND( OFFSET($A$1, 15 - 1, 57 - 1) = "1", OFFSET($A$1, 15 - 1, 58 - 1) = "1" ), 1, IF( AND( OFFSET($A$1, 15 - 1, 57 - 1) = "1", OFFSET($A$1, 15 - 1, 58 - 1) = "0" ), 2, IF( AND( OFFSET($A$1, 15 - 1, 57 - 1) = "0", OFFSET($A$1, 15 - 1, 58 - 1) = "1" ), 3, 4 ) ) )</f>
        <v>4</v>
      </c>
    </row>
    <row r="16" spans="2:59" x14ac:dyDescent="0.25">
      <c r="C16" s="14" t="s">
        <v>61</v>
      </c>
      <c r="D16" s="15"/>
      <c r="E16" s="15"/>
      <c r="F16" s="16"/>
      <c r="G16" s="19" t="s">
        <v>93</v>
      </c>
      <c r="H16" s="29"/>
      <c r="I16" s="29"/>
      <c r="J16" s="29"/>
      <c r="K16" s="20"/>
      <c r="AY16" s="7">
        <v>0.35294117647058826</v>
      </c>
      <c r="AZ16" s="7" t="str">
        <f>"0"</f>
        <v>0</v>
      </c>
      <c r="BA16" t="str">
        <f ca="1">IF((OFFSET($A$1, 16 - 1, 51 - 1)) &gt;= (OFFSET($A$1, 77 - 1, 7 - 1)), "1","0")</f>
        <v>0</v>
      </c>
      <c r="BB16">
        <f ca="1" xml:space="preserve"> IF( AND( OFFSET($A$1, 16 - 1, 52 - 1) = "1", OFFSET($A$1, 16 - 1, 53 - 1) = "1" ), 1, IF( AND( OFFSET($A$1, 16 - 1, 52 - 1) = "1", OFFSET($A$1, 16 - 1, 53 - 1) = "0" ), 2, IF( AND( OFFSET($A$1, 16 - 1, 52 - 1) = "0", OFFSET($A$1, 16 - 1, 53 - 1) = "1" ), 3, 4 ) ) )</f>
        <v>4</v>
      </c>
      <c r="BD16" s="7">
        <v>0.41176470588235292</v>
      </c>
      <c r="BE16" s="7" t="str">
        <f>"0"</f>
        <v>0</v>
      </c>
      <c r="BF16" t="str">
        <f ca="1">IF((OFFSET($A$1, 16 - 1, 56 - 1)) &gt;= (OFFSET($A$1, 101 - 1, 7 - 1)), "1","0")</f>
        <v>0</v>
      </c>
      <c r="BG16">
        <f ca="1" xml:space="preserve"> IF( AND( OFFSET($A$1, 16 - 1, 57 - 1) = "1", OFFSET($A$1, 16 - 1, 58 - 1) = "1" ), 1, IF( AND( OFFSET($A$1, 16 - 1, 57 - 1) = "1", OFFSET($A$1, 16 - 1, 58 - 1) = "0" ), 2, IF( AND( OFFSET($A$1, 16 - 1, 57 - 1) = "0", OFFSET($A$1, 16 - 1, 58 - 1) = "1" ), 3, 4 ) ) )</f>
        <v>4</v>
      </c>
    </row>
    <row r="17" spans="3:59" x14ac:dyDescent="0.25">
      <c r="C17" s="14" t="s">
        <v>94</v>
      </c>
      <c r="D17" s="15"/>
      <c r="E17" s="15"/>
      <c r="F17" s="16"/>
      <c r="G17" s="19" t="s">
        <v>95</v>
      </c>
      <c r="H17" s="29"/>
      <c r="I17" s="29"/>
      <c r="J17" s="29"/>
      <c r="K17" s="20"/>
      <c r="AY17" s="7">
        <v>0.35294117647058826</v>
      </c>
      <c r="AZ17" s="7" t="str">
        <f>"1"</f>
        <v>1</v>
      </c>
      <c r="BA17" t="str">
        <f ca="1">IF((OFFSET($A$1, 17 - 1, 51 - 1)) &gt;= (OFFSET($A$1, 77 - 1, 7 - 1)), "1","0")</f>
        <v>0</v>
      </c>
      <c r="BB17">
        <f ca="1" xml:space="preserve"> IF( AND( OFFSET($A$1, 17 - 1, 52 - 1) = "1", OFFSET($A$1, 17 - 1, 53 - 1) = "1" ), 1, IF( AND( OFFSET($A$1, 17 - 1, 52 - 1) = "1", OFFSET($A$1, 17 - 1, 53 - 1) = "0" ), 2, IF( AND( OFFSET($A$1, 17 - 1, 52 - 1) = "0", OFFSET($A$1, 17 - 1, 53 - 1) = "1" ), 3, 4 ) ) )</f>
        <v>2</v>
      </c>
      <c r="BD17" s="7">
        <v>0</v>
      </c>
      <c r="BE17" s="7" t="str">
        <f>"0"</f>
        <v>0</v>
      </c>
      <c r="BF17" t="str">
        <f ca="1">IF((OFFSET($A$1, 17 - 1, 56 - 1)) &gt;= (OFFSET($A$1, 101 - 1, 7 - 1)), "1","0")</f>
        <v>0</v>
      </c>
      <c r="BG17">
        <f ca="1" xml:space="preserve"> IF( AND( OFFSET($A$1, 17 - 1, 57 - 1) = "1", OFFSET($A$1, 17 - 1, 58 - 1) = "1" ), 1, IF( AND( OFFSET($A$1, 17 - 1, 57 - 1) = "1", OFFSET($A$1, 17 - 1, 58 - 1) = "0" ), 2, IF( AND( OFFSET($A$1, 17 - 1, 57 - 1) = "0", OFFSET($A$1, 17 - 1, 58 - 1) = "1" ), 3, 4 ) ) )</f>
        <v>4</v>
      </c>
    </row>
    <row r="18" spans="3:59" x14ac:dyDescent="0.25">
      <c r="C18" s="14" t="s">
        <v>96</v>
      </c>
      <c r="D18" s="15"/>
      <c r="E18" s="15"/>
      <c r="F18" s="16"/>
      <c r="G18" s="19">
        <v>600</v>
      </c>
      <c r="H18" s="29"/>
      <c r="I18" s="29"/>
      <c r="J18" s="29"/>
      <c r="K18" s="20"/>
      <c r="AY18" s="7">
        <v>0.23529411764705882</v>
      </c>
      <c r="AZ18" s="7" t="str">
        <f>"0"</f>
        <v>0</v>
      </c>
      <c r="BA18" t="str">
        <f ca="1">IF((OFFSET($A$1, 18 - 1, 51 - 1)) &gt;= (OFFSET($A$1, 77 - 1, 7 - 1)), "1","0")</f>
        <v>0</v>
      </c>
      <c r="BB18">
        <f ca="1" xml:space="preserve"> IF( AND( OFFSET($A$1, 18 - 1, 52 - 1) = "1", OFFSET($A$1, 18 - 1, 53 - 1) = "1" ), 1, IF( AND( OFFSET($A$1, 18 - 1, 52 - 1) = "1", OFFSET($A$1, 18 - 1, 53 - 1) = "0" ), 2, IF( AND( OFFSET($A$1, 18 - 1, 52 - 1) = "0", OFFSET($A$1, 18 - 1, 53 - 1) = "1" ), 3, 4 ) ) )</f>
        <v>4</v>
      </c>
      <c r="BD18" s="7">
        <v>0</v>
      </c>
      <c r="BE18" s="7" t="str">
        <f>"0"</f>
        <v>0</v>
      </c>
      <c r="BF18" t="str">
        <f ca="1">IF((OFFSET($A$1, 18 - 1, 56 - 1)) &gt;= (OFFSET($A$1, 101 - 1, 7 - 1)), "1","0")</f>
        <v>0</v>
      </c>
      <c r="BG18">
        <f ca="1" xml:space="preserve"> IF( AND( OFFSET($A$1, 18 - 1, 57 - 1) = "1", OFFSET($A$1, 18 - 1, 58 - 1) = "1" ), 1, IF( AND( OFFSET($A$1, 18 - 1, 57 - 1) = "1", OFFSET($A$1, 18 - 1, 58 - 1) = "0" ), 2, IF( AND( OFFSET($A$1, 18 - 1, 57 - 1) = "0", OFFSET($A$1, 18 - 1, 58 - 1) = "1" ), 3, 4 ) ) )</f>
        <v>4</v>
      </c>
    </row>
    <row r="19" spans="3:59" x14ac:dyDescent="0.25">
      <c r="C19" s="14" t="s">
        <v>97</v>
      </c>
      <c r="D19" s="15"/>
      <c r="E19" s="15"/>
      <c r="F19" s="16"/>
      <c r="G19" s="19" t="s">
        <v>98</v>
      </c>
      <c r="H19" s="29"/>
      <c r="I19" s="29"/>
      <c r="J19" s="29"/>
      <c r="K19" s="20"/>
      <c r="AY19" s="7">
        <v>0.23529411764705882</v>
      </c>
      <c r="AZ19" s="7" t="str">
        <f>"1"</f>
        <v>1</v>
      </c>
      <c r="BA19" t="str">
        <f ca="1">IF((OFFSET($A$1, 19 - 1, 51 - 1)) &gt;= (OFFSET($A$1, 77 - 1, 7 - 1)), "1","0")</f>
        <v>0</v>
      </c>
      <c r="BB19">
        <f ca="1" xml:space="preserve"> IF( AND( OFFSET($A$1, 19 - 1, 52 - 1) = "1", OFFSET($A$1, 19 - 1, 53 - 1) = "1" ), 1, IF( AND( OFFSET($A$1, 19 - 1, 52 - 1) = "1", OFFSET($A$1, 19 - 1, 53 - 1) = "0" ), 2, IF( AND( OFFSET($A$1, 19 - 1, 52 - 1) = "0", OFFSET($A$1, 19 - 1, 53 - 1) = "1" ), 3, 4 ) ) )</f>
        <v>2</v>
      </c>
      <c r="BD19" s="7">
        <v>0</v>
      </c>
      <c r="BE19" s="7" t="str">
        <f>"0"</f>
        <v>0</v>
      </c>
      <c r="BF19" t="str">
        <f ca="1">IF((OFFSET($A$1, 19 - 1, 56 - 1)) &gt;= (OFFSET($A$1, 101 - 1, 7 - 1)), "1","0")</f>
        <v>0</v>
      </c>
      <c r="BG19">
        <f ca="1" xml:space="preserve"> IF( AND( OFFSET($A$1, 19 - 1, 57 - 1) = "1", OFFSET($A$1, 19 - 1, 58 - 1) = "1" ), 1, IF( AND( OFFSET($A$1, 19 - 1, 57 - 1) = "1", OFFSET($A$1, 19 - 1, 58 - 1) = "0" ), 2, IF( AND( OFFSET($A$1, 19 - 1, 57 - 1) = "0", OFFSET($A$1, 19 - 1, 58 - 1) = "1" ), 3, 4 ) ) )</f>
        <v>4</v>
      </c>
    </row>
    <row r="20" spans="3:59" x14ac:dyDescent="0.25">
      <c r="C20" s="14" t="s">
        <v>99</v>
      </c>
      <c r="D20" s="15"/>
      <c r="E20" s="15"/>
      <c r="F20" s="16"/>
      <c r="G20" s="19">
        <v>400</v>
      </c>
      <c r="H20" s="29"/>
      <c r="I20" s="29"/>
      <c r="J20" s="29"/>
      <c r="K20" s="20"/>
      <c r="AY20" s="7">
        <v>0.41176470588235292</v>
      </c>
      <c r="AZ20" s="7" t="str">
        <f>"1"</f>
        <v>1</v>
      </c>
      <c r="BA20" t="str">
        <f ca="1">IF((OFFSET($A$1, 20 - 1, 51 - 1)) &gt;= (OFFSET($A$1, 77 - 1, 7 - 1)), "1","0")</f>
        <v>0</v>
      </c>
      <c r="BB20">
        <f ca="1" xml:space="preserve"> IF( AND( OFFSET($A$1, 20 - 1, 52 - 1) = "1", OFFSET($A$1, 20 - 1, 53 - 1) = "1" ), 1, IF( AND( OFFSET($A$1, 20 - 1, 52 - 1) = "1", OFFSET($A$1, 20 - 1, 53 - 1) = "0" ), 2, IF( AND( OFFSET($A$1, 20 - 1, 52 - 1) = "0", OFFSET($A$1, 20 - 1, 53 - 1) = "1" ), 3, 4 ) ) )</f>
        <v>2</v>
      </c>
      <c r="BD20" s="7">
        <v>0.82352941176470584</v>
      </c>
      <c r="BE20" s="7" t="str">
        <f>"0"</f>
        <v>0</v>
      </c>
      <c r="BF20" t="str">
        <f ca="1">IF((OFFSET($A$1, 20 - 1, 56 - 1)) &gt;= (OFFSET($A$1, 101 - 1, 7 - 1)), "1","0")</f>
        <v>1</v>
      </c>
      <c r="BG20">
        <f ca="1" xml:space="preserve"> IF( AND( OFFSET($A$1, 20 - 1, 57 - 1) = "1", OFFSET($A$1, 20 - 1, 58 - 1) = "1" ), 1, IF( AND( OFFSET($A$1, 20 - 1, 57 - 1) = "1", OFFSET($A$1, 20 - 1, 58 - 1) = "0" ), 2, IF( AND( OFFSET($A$1, 20 - 1, 57 - 1) = "0", OFFSET($A$1, 20 - 1, 58 - 1) = "1" ), 3, 4 ) ) )</f>
        <v>3</v>
      </c>
    </row>
    <row r="21" spans="3:59" x14ac:dyDescent="0.25">
      <c r="AY21" s="7">
        <v>0.88235294117647056</v>
      </c>
      <c r="AZ21" s="7" t="str">
        <f>"1"</f>
        <v>1</v>
      </c>
      <c r="BA21" t="str">
        <f ca="1">IF((OFFSET($A$1, 21 - 1, 51 - 1)) &gt;= (OFFSET($A$1, 77 - 1, 7 - 1)), "1","0")</f>
        <v>1</v>
      </c>
      <c r="BB21">
        <f ca="1" xml:space="preserve"> IF( AND( OFFSET($A$1, 21 - 1, 52 - 1) = "1", OFFSET($A$1, 21 - 1, 53 - 1) = "1" ), 1, IF( AND( OFFSET($A$1, 21 - 1, 52 - 1) = "1", OFFSET($A$1, 21 - 1, 53 - 1) = "0" ), 2, IF( AND( OFFSET($A$1, 21 - 1, 52 - 1) = "0", OFFSET($A$1, 21 - 1, 53 - 1) = "1" ), 3, 4 ) ) )</f>
        <v>1</v>
      </c>
      <c r="BD21" s="7">
        <v>1</v>
      </c>
      <c r="BE21" s="7" t="str">
        <f>"1"</f>
        <v>1</v>
      </c>
      <c r="BF21" t="str">
        <f ca="1">IF((OFFSET($A$1, 21 - 1, 56 - 1)) &gt;= (OFFSET($A$1, 101 - 1, 7 - 1)), "1","0")</f>
        <v>1</v>
      </c>
      <c r="BG21">
        <f ca="1" xml:space="preserve"> IF( AND( OFFSET($A$1, 21 - 1, 57 - 1) = "1", OFFSET($A$1, 21 - 1, 58 - 1) = "1" ), 1, IF( AND( OFFSET($A$1, 21 - 1, 57 - 1) = "1", OFFSET($A$1, 21 - 1, 58 - 1) = "0" ), 2, IF( AND( OFFSET($A$1, 21 - 1, 57 - 1) = "0", OFFSET($A$1, 21 - 1, 58 - 1) = "1" ), 3, 4 ) ) )</f>
        <v>1</v>
      </c>
    </row>
    <row r="22" spans="3:59" x14ac:dyDescent="0.25">
      <c r="C22" s="11" t="s">
        <v>27</v>
      </c>
      <c r="D22" s="12"/>
      <c r="E22" s="13"/>
      <c r="AY22" s="7">
        <v>0.88235294117647056</v>
      </c>
      <c r="AZ22" s="7" t="str">
        <f>"1"</f>
        <v>1</v>
      </c>
      <c r="BA22" t="str">
        <f ca="1">IF((OFFSET($A$1, 22 - 1, 51 - 1)) &gt;= (OFFSET($A$1, 77 - 1, 7 - 1)), "1","0")</f>
        <v>1</v>
      </c>
      <c r="BB22">
        <f ca="1" xml:space="preserve"> IF( AND( OFFSET($A$1, 22 - 1, 52 - 1) = "1", OFFSET($A$1, 22 - 1, 53 - 1) = "1" ), 1, IF( AND( OFFSET($A$1, 22 - 1, 52 - 1) = "1", OFFSET($A$1, 22 - 1, 53 - 1) = "0" ), 2, IF( AND( OFFSET($A$1, 22 - 1, 52 - 1) = "0", OFFSET($A$1, 22 - 1, 53 - 1) = "1" ), 3, 4 ) ) )</f>
        <v>1</v>
      </c>
      <c r="BD22" s="7">
        <v>1</v>
      </c>
      <c r="BE22" s="7" t="str">
        <f>"1"</f>
        <v>1</v>
      </c>
      <c r="BF22" t="str">
        <f ca="1">IF((OFFSET($A$1, 22 - 1, 56 - 1)) &gt;= (OFFSET($A$1, 101 - 1, 7 - 1)), "1","0")</f>
        <v>1</v>
      </c>
      <c r="BG22">
        <f ca="1" xml:space="preserve"> IF( AND( OFFSET($A$1, 22 - 1, 57 - 1) = "1", OFFSET($A$1, 22 - 1, 58 - 1) = "1" ), 1, IF( AND( OFFSET($A$1, 22 - 1, 57 - 1) = "1", OFFSET($A$1, 22 - 1, 58 - 1) = "0" ), 2, IF( AND( OFFSET($A$1, 22 - 1, 57 - 1) = "0", OFFSET($A$1, 22 - 1, 58 - 1) = "1" ), 3, 4 ) ) )</f>
        <v>1</v>
      </c>
    </row>
    <row r="23" spans="3:59" x14ac:dyDescent="0.25">
      <c r="C23" s="14" t="s">
        <v>100</v>
      </c>
      <c r="D23" s="16"/>
      <c r="E23" s="8">
        <v>1</v>
      </c>
      <c r="AY23" s="7">
        <v>0.94117647058823528</v>
      </c>
      <c r="AZ23" s="7" t="str">
        <f>"1"</f>
        <v>1</v>
      </c>
      <c r="BA23" t="str">
        <f ca="1">IF((OFFSET($A$1, 23 - 1, 51 - 1)) &gt;= (OFFSET($A$1, 77 - 1, 7 - 1)), "1","0")</f>
        <v>1</v>
      </c>
      <c r="BB23">
        <f ca="1" xml:space="preserve"> IF( AND( OFFSET($A$1, 23 - 1, 52 - 1) = "1", OFFSET($A$1, 23 - 1, 53 - 1) = "1" ), 1, IF( AND( OFFSET($A$1, 23 - 1, 52 - 1) = "1", OFFSET($A$1, 23 - 1, 53 - 1) = "0" ), 2, IF( AND( OFFSET($A$1, 23 - 1, 52 - 1) = "0", OFFSET($A$1, 23 - 1, 53 - 1) = "1" ), 3, 4 ) ) )</f>
        <v>1</v>
      </c>
      <c r="BD23" s="7">
        <v>0</v>
      </c>
      <c r="BE23" s="7" t="str">
        <f>"0"</f>
        <v>0</v>
      </c>
      <c r="BF23" t="str">
        <f ca="1">IF((OFFSET($A$1, 23 - 1, 56 - 1)) &gt;= (OFFSET($A$1, 101 - 1, 7 - 1)), "1","0")</f>
        <v>0</v>
      </c>
      <c r="BG23">
        <f ca="1" xml:space="preserve"> IF( AND( OFFSET($A$1, 23 - 1, 57 - 1) = "1", OFFSET($A$1, 23 - 1, 58 - 1) = "1" ), 1, IF( AND( OFFSET($A$1, 23 - 1, 57 - 1) = "1", OFFSET($A$1, 23 - 1, 58 - 1) = "0" ), 2, IF( AND( OFFSET($A$1, 23 - 1, 57 - 1) = "0", OFFSET($A$1, 23 - 1, 58 - 1) = "1" ), 3, 4 ) ) )</f>
        <v>4</v>
      </c>
    </row>
    <row r="24" spans="3:59" x14ac:dyDescent="0.25">
      <c r="C24" s="14" t="s">
        <v>101</v>
      </c>
      <c r="D24" s="16"/>
      <c r="E24" s="7" t="s">
        <v>0</v>
      </c>
      <c r="AY24" s="7">
        <v>1</v>
      </c>
      <c r="AZ24" s="7" t="str">
        <f>"1"</f>
        <v>1</v>
      </c>
      <c r="BA24" t="str">
        <f ca="1">IF((OFFSET($A$1, 24 - 1, 51 - 1)) &gt;= (OFFSET($A$1, 77 - 1, 7 - 1)), "1","0")</f>
        <v>1</v>
      </c>
      <c r="BB24">
        <f ca="1" xml:space="preserve"> IF( AND( OFFSET($A$1, 24 - 1, 52 - 1) = "1", OFFSET($A$1, 24 - 1, 53 - 1) = "1" ), 1, IF( AND( OFFSET($A$1, 24 - 1, 52 - 1) = "1", OFFSET($A$1, 24 - 1, 53 - 1) = "0" ), 2, IF( AND( OFFSET($A$1, 24 - 1, 52 - 1) = "0", OFFSET($A$1, 24 - 1, 53 - 1) = "1" ), 3, 4 ) ) )</f>
        <v>1</v>
      </c>
      <c r="BD24" s="7">
        <v>0.94117647058823528</v>
      </c>
      <c r="BE24" s="7" t="str">
        <f>"1"</f>
        <v>1</v>
      </c>
      <c r="BF24" t="str">
        <f ca="1">IF((OFFSET($A$1, 24 - 1, 56 - 1)) &gt;= (OFFSET($A$1, 101 - 1, 7 - 1)), "1","0")</f>
        <v>1</v>
      </c>
      <c r="BG24">
        <f ca="1" xml:space="preserve"> IF( AND( OFFSET($A$1, 24 - 1, 57 - 1) = "1", OFFSET($A$1, 24 - 1, 58 - 1) = "1" ), 1, IF( AND( OFFSET($A$1, 24 - 1, 57 - 1) = "1", OFFSET($A$1, 24 - 1, 58 - 1) = "0" ), 2, IF( AND( OFFSET($A$1, 24 - 1, 57 - 1) = "0", OFFSET($A$1, 24 - 1, 58 - 1) = "1" ), 3, 4 ) ) )</f>
        <v>1</v>
      </c>
    </row>
    <row r="25" spans="3:59" x14ac:dyDescent="0.25">
      <c r="C25" s="14" t="s">
        <v>102</v>
      </c>
      <c r="D25" s="16"/>
      <c r="E25" s="7" t="s">
        <v>2</v>
      </c>
      <c r="AY25" s="7">
        <v>0.94117647058823528</v>
      </c>
      <c r="AZ25" s="7" t="str">
        <f>"0"</f>
        <v>0</v>
      </c>
      <c r="BA25" t="str">
        <f ca="1">IF((OFFSET($A$1, 25 - 1, 51 - 1)) &gt;= (OFFSET($A$1, 77 - 1, 7 - 1)), "1","0")</f>
        <v>1</v>
      </c>
      <c r="BB25">
        <f ca="1" xml:space="preserve"> IF( AND( OFFSET($A$1, 25 - 1, 52 - 1) = "1", OFFSET($A$1, 25 - 1, 53 - 1) = "1" ), 1, IF( AND( OFFSET($A$1, 25 - 1, 52 - 1) = "1", OFFSET($A$1, 25 - 1, 53 - 1) = "0" ), 2, IF( AND( OFFSET($A$1, 25 - 1, 52 - 1) = "0", OFFSET($A$1, 25 - 1, 53 - 1) = "1" ), 3, 4 ) ) )</f>
        <v>3</v>
      </c>
      <c r="BD25" s="7">
        <v>5.8823529411764705E-2</v>
      </c>
      <c r="BE25" s="7" t="str">
        <f>"0"</f>
        <v>0</v>
      </c>
      <c r="BF25" t="str">
        <f ca="1">IF((OFFSET($A$1, 25 - 1, 56 - 1)) &gt;= (OFFSET($A$1, 101 - 1, 7 - 1)), "1","0")</f>
        <v>0</v>
      </c>
      <c r="BG25">
        <f ca="1" xml:space="preserve"> IF( AND( OFFSET($A$1, 25 - 1, 57 - 1) = "1", OFFSET($A$1, 25 - 1, 58 - 1) = "1" ), 1, IF( AND( OFFSET($A$1, 25 - 1, 57 - 1) = "1", OFFSET($A$1, 25 - 1, 58 - 1) = "0" ), 2, IF( AND( OFFSET($A$1, 25 - 1, 57 - 1) = "0", OFFSET($A$1, 25 - 1, 58 - 1) = "1" ), 3, 4 ) ) )</f>
        <v>4</v>
      </c>
    </row>
    <row r="26" spans="3:59" x14ac:dyDescent="0.25">
      <c r="AY26" s="7">
        <v>1</v>
      </c>
      <c r="AZ26" s="7" t="str">
        <f>"1"</f>
        <v>1</v>
      </c>
      <c r="BA26" t="str">
        <f ca="1">IF((OFFSET($A$1, 26 - 1, 51 - 1)) &gt;= (OFFSET($A$1, 77 - 1, 7 - 1)), "1","0")</f>
        <v>1</v>
      </c>
      <c r="BB26">
        <f ca="1" xml:space="preserve"> IF( AND( OFFSET($A$1, 26 - 1, 52 - 1) = "1", OFFSET($A$1, 26 - 1, 53 - 1) = "1" ), 1, IF( AND( OFFSET($A$1, 26 - 1, 52 - 1) = "1", OFFSET($A$1, 26 - 1, 53 - 1) = "0" ), 2, IF( AND( OFFSET($A$1, 26 - 1, 52 - 1) = "0", OFFSET($A$1, 26 - 1, 53 - 1) = "1" ), 3, 4 ) ) )</f>
        <v>1</v>
      </c>
      <c r="BD26" s="7">
        <v>5.8823529411764705E-2</v>
      </c>
      <c r="BE26" s="7" t="str">
        <f>"0"</f>
        <v>0</v>
      </c>
      <c r="BF26" t="str">
        <f ca="1">IF((OFFSET($A$1, 26 - 1, 56 - 1)) &gt;= (OFFSET($A$1, 101 - 1, 7 - 1)), "1","0")</f>
        <v>0</v>
      </c>
      <c r="BG26">
        <f ca="1" xml:space="preserve"> IF( AND( OFFSET($A$1, 26 - 1, 57 - 1) = "1", OFFSET($A$1, 26 - 1, 58 - 1) = "1" ), 1, IF( AND( OFFSET($A$1, 26 - 1, 57 - 1) = "1", OFFSET($A$1, 26 - 1, 58 - 1) = "0" ), 2, IF( AND( OFFSET($A$1, 26 - 1, 57 - 1) = "0", OFFSET($A$1, 26 - 1, 58 - 1) = "1" ), 3, 4 ) ) )</f>
        <v>4</v>
      </c>
    </row>
    <row r="27" spans="3:59" x14ac:dyDescent="0.25">
      <c r="C27" s="11" t="s">
        <v>103</v>
      </c>
      <c r="D27" s="12"/>
      <c r="E27" s="12"/>
      <c r="F27" s="12"/>
      <c r="G27" s="12"/>
      <c r="H27" s="12"/>
      <c r="I27" s="13"/>
      <c r="AY27" s="7">
        <v>1</v>
      </c>
      <c r="AZ27" s="7" t="str">
        <f>"1"</f>
        <v>1</v>
      </c>
      <c r="BA27" t="str">
        <f ca="1">IF((OFFSET($A$1, 27 - 1, 51 - 1)) &gt;= (OFFSET($A$1, 77 - 1, 7 - 1)), "1","0")</f>
        <v>1</v>
      </c>
      <c r="BB27">
        <f ca="1" xml:space="preserve"> IF( AND( OFFSET($A$1, 27 - 1, 52 - 1) = "1", OFFSET($A$1, 27 - 1, 53 - 1) = "1" ), 1, IF( AND( OFFSET($A$1, 27 - 1, 52 - 1) = "1", OFFSET($A$1, 27 - 1, 53 - 1) = "0" ), 2, IF( AND( OFFSET($A$1, 27 - 1, 52 - 1) = "0", OFFSET($A$1, 27 - 1, 53 - 1) = "1" ), 3, 4 ) ) )</f>
        <v>1</v>
      </c>
      <c r="BD27" s="7">
        <v>0</v>
      </c>
      <c r="BE27" s="7" t="str">
        <f>"0"</f>
        <v>0</v>
      </c>
      <c r="BF27" t="str">
        <f ca="1">IF((OFFSET($A$1, 27 - 1, 56 - 1)) &gt;= (OFFSET($A$1, 101 - 1, 7 - 1)), "1","0")</f>
        <v>0</v>
      </c>
      <c r="BG27">
        <f ca="1" xml:space="preserve"> IF( AND( OFFSET($A$1, 27 - 1, 57 - 1) = "1", OFFSET($A$1, 27 - 1, 58 - 1) = "1" ), 1, IF( AND( OFFSET($A$1, 27 - 1, 57 - 1) = "1", OFFSET($A$1, 27 - 1, 58 - 1) = "0" ), 2, IF( AND( OFFSET($A$1, 27 - 1, 57 - 1) = "0", OFFSET($A$1, 27 - 1, 58 - 1) = "1" ), 3, 4 ) ) )</f>
        <v>4</v>
      </c>
    </row>
    <row r="28" spans="3:59" x14ac:dyDescent="0.25">
      <c r="C28" s="14" t="s">
        <v>104</v>
      </c>
      <c r="D28" s="15"/>
      <c r="E28" s="16"/>
      <c r="F28" s="17" t="s">
        <v>105</v>
      </c>
      <c r="G28" s="22"/>
      <c r="H28" s="22"/>
      <c r="I28" s="18"/>
      <c r="AY28" s="7">
        <v>0.94117647058823528</v>
      </c>
      <c r="AZ28" s="7" t="str">
        <f>"0"</f>
        <v>0</v>
      </c>
      <c r="BA28" t="str">
        <f ca="1">IF((OFFSET($A$1, 28 - 1, 51 - 1)) &gt;= (OFFSET($A$1, 77 - 1, 7 - 1)), "1","0")</f>
        <v>1</v>
      </c>
      <c r="BB28">
        <f ca="1" xml:space="preserve"> IF( AND( OFFSET($A$1, 28 - 1, 52 - 1) = "1", OFFSET($A$1, 28 - 1, 53 - 1) = "1" ), 1, IF( AND( OFFSET($A$1, 28 - 1, 52 - 1) = "1", OFFSET($A$1, 28 - 1, 53 - 1) = "0" ), 2, IF( AND( OFFSET($A$1, 28 - 1, 52 - 1) = "0", OFFSET($A$1, 28 - 1, 53 - 1) = "1" ), 3, 4 ) ) )</f>
        <v>3</v>
      </c>
      <c r="BD28" s="7">
        <v>0.23529411764705882</v>
      </c>
      <c r="BE28" s="7" t="str">
        <f>"1"</f>
        <v>1</v>
      </c>
      <c r="BF28" t="str">
        <f ca="1">IF((OFFSET($A$1, 28 - 1, 56 - 1)) &gt;= (OFFSET($A$1, 101 - 1, 7 - 1)), "1","0")</f>
        <v>0</v>
      </c>
      <c r="BG28">
        <f ca="1" xml:space="preserve"> IF( AND( OFFSET($A$1, 28 - 1, 57 - 1) = "1", OFFSET($A$1, 28 - 1, 58 - 1) = "1" ), 1, IF( AND( OFFSET($A$1, 28 - 1, 57 - 1) = "1", OFFSET($A$1, 28 - 1, 58 - 1) = "0" ), 2, IF( AND( OFFSET($A$1, 28 - 1, 57 - 1) = "0", OFFSET($A$1, 28 - 1, 58 - 1) = "1" ), 3, 4 ) ) )</f>
        <v>2</v>
      </c>
    </row>
    <row r="29" spans="3:59" x14ac:dyDescent="0.25">
      <c r="C29" s="14" t="s">
        <v>106</v>
      </c>
      <c r="D29" s="15"/>
      <c r="E29" s="16"/>
      <c r="F29" s="19">
        <v>20</v>
      </c>
      <c r="G29" s="29"/>
      <c r="H29" s="29"/>
      <c r="I29" s="20"/>
      <c r="AY29" s="7">
        <v>0</v>
      </c>
      <c r="AZ29" s="7" t="str">
        <f>"0"</f>
        <v>0</v>
      </c>
      <c r="BA29" t="str">
        <f ca="1">IF((OFFSET($A$1, 29 - 1, 51 - 1)) &gt;= (OFFSET($A$1, 77 - 1, 7 - 1)), "1","0")</f>
        <v>0</v>
      </c>
      <c r="BB29">
        <f ca="1" xml:space="preserve"> IF( AND( OFFSET($A$1, 29 - 1, 52 - 1) = "1", OFFSET($A$1, 29 - 1, 53 - 1) = "1" ), 1, IF( AND( OFFSET($A$1, 29 - 1, 52 - 1) = "1", OFFSET($A$1, 29 - 1, 53 - 1) = "0" ), 2, IF( AND( OFFSET($A$1, 29 - 1, 52 - 1) = "0", OFFSET($A$1, 29 - 1, 53 - 1) = "1" ), 3, 4 ) ) )</f>
        <v>4</v>
      </c>
      <c r="BD29" s="7">
        <v>1</v>
      </c>
      <c r="BE29" s="7" t="str">
        <f>"1"</f>
        <v>1</v>
      </c>
      <c r="BF29" t="str">
        <f ca="1">IF((OFFSET($A$1, 29 - 1, 56 - 1)) &gt;= (OFFSET($A$1, 101 - 1, 7 - 1)), "1","0")</f>
        <v>1</v>
      </c>
      <c r="BG29">
        <f ca="1" xml:space="preserve"> IF( AND( OFFSET($A$1, 29 - 1, 57 - 1) = "1", OFFSET($A$1, 29 - 1, 58 - 1) = "1" ), 1, IF( AND( OFFSET($A$1, 29 - 1, 57 - 1) = "1", OFFSET($A$1, 29 - 1, 58 - 1) = "0" ), 2, IF( AND( OFFSET($A$1, 29 - 1, 57 - 1) = "0", OFFSET($A$1, 29 - 1, 58 - 1) = "1" ), 3, 4 ) ) )</f>
        <v>1</v>
      </c>
    </row>
    <row r="30" spans="3:59" x14ac:dyDescent="0.25">
      <c r="C30" s="14" t="s">
        <v>107</v>
      </c>
      <c r="D30" s="15"/>
      <c r="E30" s="16"/>
      <c r="F30" s="17" t="s">
        <v>108</v>
      </c>
      <c r="G30" s="22"/>
      <c r="H30" s="22"/>
      <c r="I30" s="18"/>
      <c r="AY30" s="7">
        <v>0.23529411764705882</v>
      </c>
      <c r="AZ30" s="7" t="str">
        <f>"1"</f>
        <v>1</v>
      </c>
      <c r="BA30" t="str">
        <f ca="1">IF((OFFSET($A$1, 30 - 1, 51 - 1)) &gt;= (OFFSET($A$1, 77 - 1, 7 - 1)), "1","0")</f>
        <v>0</v>
      </c>
      <c r="BB30">
        <f ca="1" xml:space="preserve"> IF( AND( OFFSET($A$1, 30 - 1, 52 - 1) = "1", OFFSET($A$1, 30 - 1, 53 - 1) = "1" ), 1, IF( AND( OFFSET($A$1, 30 - 1, 52 - 1) = "1", OFFSET($A$1, 30 - 1, 53 - 1) = "0" ), 2, IF( AND( OFFSET($A$1, 30 - 1, 52 - 1) = "0", OFFSET($A$1, 30 - 1, 53 - 1) = "1" ), 3, 4 ) ) )</f>
        <v>2</v>
      </c>
      <c r="BD30" s="7">
        <v>0</v>
      </c>
      <c r="BE30" s="7" t="str">
        <f>"0"</f>
        <v>0</v>
      </c>
      <c r="BF30" t="str">
        <f ca="1">IF((OFFSET($A$1, 30 - 1, 56 - 1)) &gt;= (OFFSET($A$1, 101 - 1, 7 - 1)), "1","0")</f>
        <v>0</v>
      </c>
      <c r="BG30">
        <f ca="1" xml:space="preserve"> IF( AND( OFFSET($A$1, 30 - 1, 57 - 1) = "1", OFFSET($A$1, 30 - 1, 58 - 1) = "1" ), 1, IF( AND( OFFSET($A$1, 30 - 1, 57 - 1) = "1", OFFSET($A$1, 30 - 1, 58 - 1) = "0" ), 2, IF( AND( OFFSET($A$1, 30 - 1, 57 - 1) = "0", OFFSET($A$1, 30 - 1, 58 - 1) = "1" ), 3, 4 ) ) )</f>
        <v>4</v>
      </c>
    </row>
    <row r="31" spans="3:59" x14ac:dyDescent="0.25">
      <c r="C31" s="14" t="s">
        <v>109</v>
      </c>
      <c r="D31" s="15"/>
      <c r="E31" s="16"/>
      <c r="F31" s="17" t="s">
        <v>110</v>
      </c>
      <c r="G31" s="22"/>
      <c r="H31" s="22"/>
      <c r="I31" s="18"/>
      <c r="AY31" s="7">
        <v>0</v>
      </c>
      <c r="AZ31" s="7" t="str">
        <f>"0"</f>
        <v>0</v>
      </c>
      <c r="BA31" t="str">
        <f ca="1">IF((OFFSET($A$1, 31 - 1, 51 - 1)) &gt;= (OFFSET($A$1, 77 - 1, 7 - 1)), "1","0")</f>
        <v>0</v>
      </c>
      <c r="BB31">
        <f ca="1" xml:space="preserve"> IF( AND( OFFSET($A$1, 31 - 1, 52 - 1) = "1", OFFSET($A$1, 31 - 1, 53 - 1) = "1" ), 1, IF( AND( OFFSET($A$1, 31 - 1, 52 - 1) = "1", OFFSET($A$1, 31 - 1, 53 - 1) = "0" ), 2, IF( AND( OFFSET($A$1, 31 - 1, 52 - 1) = "0", OFFSET($A$1, 31 - 1, 53 - 1) = "1" ), 3, 4 ) ) )</f>
        <v>4</v>
      </c>
      <c r="BD31" s="7">
        <v>0.41176470588235292</v>
      </c>
      <c r="BE31" s="7" t="str">
        <f>"0"</f>
        <v>0</v>
      </c>
      <c r="BF31" t="str">
        <f ca="1">IF((OFFSET($A$1, 31 - 1, 56 - 1)) &gt;= (OFFSET($A$1, 101 - 1, 7 - 1)), "1","0")</f>
        <v>0</v>
      </c>
      <c r="BG31">
        <f ca="1" xml:space="preserve"> IF( AND( OFFSET($A$1, 31 - 1, 57 - 1) = "1", OFFSET($A$1, 31 - 1, 58 - 1) = "1" ), 1, IF( AND( OFFSET($A$1, 31 - 1, 57 - 1) = "1", OFFSET($A$1, 31 - 1, 58 - 1) = "0" ), 2, IF( AND( OFFSET($A$1, 31 - 1, 57 - 1) = "0", OFFSET($A$1, 31 - 1, 58 - 1) = "1" ), 3, 4 ) ) )</f>
        <v>4</v>
      </c>
    </row>
    <row r="32" spans="3:59" x14ac:dyDescent="0.25">
      <c r="AY32" s="7">
        <v>0</v>
      </c>
      <c r="AZ32" s="7" t="str">
        <f>"0"</f>
        <v>0</v>
      </c>
      <c r="BA32" t="str">
        <f ca="1">IF((OFFSET($A$1, 32 - 1, 51 - 1)) &gt;= (OFFSET($A$1, 77 - 1, 7 - 1)), "1","0")</f>
        <v>0</v>
      </c>
      <c r="BB32">
        <f ca="1" xml:space="preserve"> IF( AND( OFFSET($A$1, 32 - 1, 52 - 1) = "1", OFFSET($A$1, 32 - 1, 53 - 1) = "1" ), 1, IF( AND( OFFSET($A$1, 32 - 1, 52 - 1) = "1", OFFSET($A$1, 32 - 1, 53 - 1) = "0" ), 2, IF( AND( OFFSET($A$1, 32 - 1, 52 - 1) = "0", OFFSET($A$1, 32 - 1, 53 - 1) = "1" ), 3, 4 ) ) )</f>
        <v>4</v>
      </c>
      <c r="BD32" s="7">
        <v>0</v>
      </c>
      <c r="BE32" s="7" t="str">
        <f>"0"</f>
        <v>0</v>
      </c>
      <c r="BF32" t="str">
        <f ca="1">IF((OFFSET($A$1, 32 - 1, 56 - 1)) &gt;= (OFFSET($A$1, 101 - 1, 7 - 1)), "1","0")</f>
        <v>0</v>
      </c>
      <c r="BG32">
        <f ca="1" xml:space="preserve"> IF( AND( OFFSET($A$1, 32 - 1, 57 - 1) = "1", OFFSET($A$1, 32 - 1, 58 - 1) = "1" ), 1, IF( AND( OFFSET($A$1, 32 - 1, 57 - 1) = "1", OFFSET($A$1, 32 - 1, 58 - 1) = "0" ), 2, IF( AND( OFFSET($A$1, 32 - 1, 57 - 1) = "0", OFFSET($A$1, 32 - 1, 58 - 1) = "1" ), 3, 4 ) ) )</f>
        <v>4</v>
      </c>
    </row>
    <row r="33" spans="2:59" x14ac:dyDescent="0.25">
      <c r="C33" s="11" t="s">
        <v>111</v>
      </c>
      <c r="D33" s="12"/>
      <c r="E33" s="12"/>
      <c r="F33" s="12"/>
      <c r="G33" s="13"/>
      <c r="AY33" s="7">
        <v>0.23529411764705882</v>
      </c>
      <c r="AZ33" s="7" t="str">
        <f>"0"</f>
        <v>0</v>
      </c>
      <c r="BA33" t="str">
        <f ca="1">IF((OFFSET($A$1, 33 - 1, 51 - 1)) &gt;= (OFFSET($A$1, 77 - 1, 7 - 1)), "1","0")</f>
        <v>0</v>
      </c>
      <c r="BB33">
        <f ca="1" xml:space="preserve"> IF( AND( OFFSET($A$1, 33 - 1, 52 - 1) = "1", OFFSET($A$1, 33 - 1, 53 - 1) = "1" ), 1, IF( AND( OFFSET($A$1, 33 - 1, 52 - 1) = "1", OFFSET($A$1, 33 - 1, 53 - 1) = "0" ), 2, IF( AND( OFFSET($A$1, 33 - 1, 52 - 1) = "0", OFFSET($A$1, 33 - 1, 53 - 1) = "1" ), 3, 4 ) ) )</f>
        <v>4</v>
      </c>
      <c r="BD33" s="7">
        <v>0</v>
      </c>
      <c r="BE33" s="7" t="str">
        <f>"0"</f>
        <v>0</v>
      </c>
      <c r="BF33" t="str">
        <f ca="1">IF((OFFSET($A$1, 33 - 1, 56 - 1)) &gt;= (OFFSET($A$1, 101 - 1, 7 - 1)), "1","0")</f>
        <v>0</v>
      </c>
      <c r="BG33">
        <f ca="1" xml:space="preserve"> IF( AND( OFFSET($A$1, 33 - 1, 57 - 1) = "1", OFFSET($A$1, 33 - 1, 58 - 1) = "1" ), 1, IF( AND( OFFSET($A$1, 33 - 1, 57 - 1) = "1", OFFSET($A$1, 33 - 1, 58 - 1) = "0" ), 2, IF( AND( OFFSET($A$1, 33 - 1, 57 - 1) = "0", OFFSET($A$1, 33 - 1, 58 - 1) = "1" ), 3, 4 ) ) )</f>
        <v>4</v>
      </c>
    </row>
    <row r="34" spans="2:59" x14ac:dyDescent="0.25">
      <c r="C34" s="17" t="s">
        <v>112</v>
      </c>
      <c r="D34" s="22"/>
      <c r="E34" s="22"/>
      <c r="F34" s="22"/>
      <c r="G34" s="18"/>
      <c r="AY34" s="7">
        <v>1</v>
      </c>
      <c r="AZ34" s="7" t="str">
        <f>"1"</f>
        <v>1</v>
      </c>
      <c r="BA34" t="str">
        <f ca="1">IF((OFFSET($A$1, 34 - 1, 51 - 1)) &gt;= (OFFSET($A$1, 77 - 1, 7 - 1)), "1","0")</f>
        <v>1</v>
      </c>
      <c r="BB34">
        <f ca="1" xml:space="preserve"> IF( AND( OFFSET($A$1, 34 - 1, 52 - 1) = "1", OFFSET($A$1, 34 - 1, 53 - 1) = "1" ), 1, IF( AND( OFFSET($A$1, 34 - 1, 52 - 1) = "1", OFFSET($A$1, 34 - 1, 53 - 1) = "0" ), 2, IF( AND( OFFSET($A$1, 34 - 1, 52 - 1) = "0", OFFSET($A$1, 34 - 1, 53 - 1) = "1" ), 3, 4 ) ) )</f>
        <v>1</v>
      </c>
      <c r="BD34" s="7">
        <v>0.17647058823529413</v>
      </c>
      <c r="BE34" s="7" t="str">
        <f>"0"</f>
        <v>0</v>
      </c>
      <c r="BF34" t="str">
        <f ca="1">IF((OFFSET($A$1, 34 - 1, 56 - 1)) &gt;= (OFFSET($A$1, 101 - 1, 7 - 1)), "1","0")</f>
        <v>0</v>
      </c>
      <c r="BG34">
        <f ca="1" xml:space="preserve"> IF( AND( OFFSET($A$1, 34 - 1, 57 - 1) = "1", OFFSET($A$1, 34 - 1, 58 - 1) = "1" ), 1, IF( AND( OFFSET($A$1, 34 - 1, 57 - 1) = "1", OFFSET($A$1, 34 - 1, 58 - 1) = "0" ), 2, IF( AND( OFFSET($A$1, 34 - 1, 57 - 1) = "0", OFFSET($A$1, 34 - 1, 58 - 1) = "1" ), 3, 4 ) ) )</f>
        <v>4</v>
      </c>
    </row>
    <row r="35" spans="2:59" x14ac:dyDescent="0.25">
      <c r="C35" s="17" t="s">
        <v>113</v>
      </c>
      <c r="D35" s="22"/>
      <c r="E35" s="22"/>
      <c r="F35" s="22"/>
      <c r="G35" s="18"/>
      <c r="AY35" s="7">
        <v>5.8823529411764705E-2</v>
      </c>
      <c r="AZ35" s="7" t="str">
        <f>"1"</f>
        <v>1</v>
      </c>
      <c r="BA35" t="str">
        <f ca="1">IF((OFFSET($A$1, 35 - 1, 51 - 1)) &gt;= (OFFSET($A$1, 77 - 1, 7 - 1)), "1","0")</f>
        <v>0</v>
      </c>
      <c r="BB35">
        <f ca="1" xml:space="preserve"> IF( AND( OFFSET($A$1, 35 - 1, 52 - 1) = "1", OFFSET($A$1, 35 - 1, 53 - 1) = "1" ), 1, IF( AND( OFFSET($A$1, 35 - 1, 52 - 1) = "1", OFFSET($A$1, 35 - 1, 53 - 1) = "0" ), 2, IF( AND( OFFSET($A$1, 35 - 1, 52 - 1) = "0", OFFSET($A$1, 35 - 1, 53 - 1) = "1" ), 3, 4 ) ) )</f>
        <v>2</v>
      </c>
      <c r="BD35" s="7">
        <v>0</v>
      </c>
      <c r="BE35" s="7" t="str">
        <f>"0"</f>
        <v>0</v>
      </c>
      <c r="BF35" t="str">
        <f ca="1">IF((OFFSET($A$1, 35 - 1, 56 - 1)) &gt;= (OFFSET($A$1, 101 - 1, 7 - 1)), "1","0")</f>
        <v>0</v>
      </c>
      <c r="BG35">
        <f ca="1" xml:space="preserve"> IF( AND( OFFSET($A$1, 35 - 1, 57 - 1) = "1", OFFSET($A$1, 35 - 1, 58 - 1) = "1" ), 1, IF( AND( OFFSET($A$1, 35 - 1, 57 - 1) = "1", OFFSET($A$1, 35 - 1, 58 - 1) = "0" ), 2, IF( AND( OFFSET($A$1, 35 - 1, 57 - 1) = "0", OFFSET($A$1, 35 - 1, 58 - 1) = "1" ), 3, 4 ) ) )</f>
        <v>4</v>
      </c>
    </row>
    <row r="36" spans="2:59" x14ac:dyDescent="0.25">
      <c r="C36" s="17" t="s">
        <v>114</v>
      </c>
      <c r="D36" s="22"/>
      <c r="E36" s="22"/>
      <c r="F36" s="22"/>
      <c r="G36" s="18"/>
      <c r="AY36" s="7">
        <v>0.41176470588235292</v>
      </c>
      <c r="AZ36" s="7" t="str">
        <f>"0"</f>
        <v>0</v>
      </c>
      <c r="BA36" t="str">
        <f ca="1">IF((OFFSET($A$1, 36 - 1, 51 - 1)) &gt;= (OFFSET($A$1, 77 - 1, 7 - 1)), "1","0")</f>
        <v>0</v>
      </c>
      <c r="BB36">
        <f ca="1" xml:space="preserve"> IF( AND( OFFSET($A$1, 36 - 1, 52 - 1) = "1", OFFSET($A$1, 36 - 1, 53 - 1) = "1" ), 1, IF( AND( OFFSET($A$1, 36 - 1, 52 - 1) = "1", OFFSET($A$1, 36 - 1, 53 - 1) = "0" ), 2, IF( AND( OFFSET($A$1, 36 - 1, 52 - 1) = "0", OFFSET($A$1, 36 - 1, 53 - 1) = "1" ), 3, 4 ) ) )</f>
        <v>4</v>
      </c>
      <c r="BD36" s="7">
        <v>0</v>
      </c>
      <c r="BE36" s="7" t="str">
        <f>"0"</f>
        <v>0</v>
      </c>
      <c r="BF36" t="str">
        <f ca="1">IF((OFFSET($A$1, 36 - 1, 56 - 1)) &gt;= (OFFSET($A$1, 101 - 1, 7 - 1)), "1","0")</f>
        <v>0</v>
      </c>
      <c r="BG36">
        <f ca="1" xml:space="preserve"> IF( AND( OFFSET($A$1, 36 - 1, 57 - 1) = "1", OFFSET($A$1, 36 - 1, 58 - 1) = "1" ), 1, IF( AND( OFFSET($A$1, 36 - 1, 57 - 1) = "1", OFFSET($A$1, 36 - 1, 58 - 1) = "0" ), 2, IF( AND( OFFSET($A$1, 36 - 1, 57 - 1) = "0", OFFSET($A$1, 36 - 1, 58 - 1) = "1" ), 3, 4 ) ) )</f>
        <v>4</v>
      </c>
    </row>
    <row r="37" spans="2:59" x14ac:dyDescent="0.25">
      <c r="C37" s="17" t="s">
        <v>115</v>
      </c>
      <c r="D37" s="22"/>
      <c r="E37" s="22"/>
      <c r="F37" s="22"/>
      <c r="G37" s="18"/>
      <c r="AY37" s="7">
        <v>0</v>
      </c>
      <c r="AZ37" s="7" t="str">
        <f>"0"</f>
        <v>0</v>
      </c>
      <c r="BA37" t="str">
        <f ca="1">IF((OFFSET($A$1, 37 - 1, 51 - 1)) &gt;= (OFFSET($A$1, 77 - 1, 7 - 1)), "1","0")</f>
        <v>0</v>
      </c>
      <c r="BB37">
        <f ca="1" xml:space="preserve"> IF( AND( OFFSET($A$1, 37 - 1, 52 - 1) = "1", OFFSET($A$1, 37 - 1, 53 - 1) = "1" ), 1, IF( AND( OFFSET($A$1, 37 - 1, 52 - 1) = "1", OFFSET($A$1, 37 - 1, 53 - 1) = "0" ), 2, IF( AND( OFFSET($A$1, 37 - 1, 52 - 1) = "0", OFFSET($A$1, 37 - 1, 53 - 1) = "1" ), 3, 4 ) ) )</f>
        <v>4</v>
      </c>
      <c r="BD37" s="7">
        <v>0</v>
      </c>
      <c r="BE37" s="7" t="str">
        <f>"0"</f>
        <v>0</v>
      </c>
      <c r="BF37" t="str">
        <f ca="1">IF((OFFSET($A$1, 37 - 1, 56 - 1)) &gt;= (OFFSET($A$1, 101 - 1, 7 - 1)), "1","0")</f>
        <v>0</v>
      </c>
      <c r="BG37">
        <f ca="1" xml:space="preserve"> IF( AND( OFFSET($A$1, 37 - 1, 57 - 1) = "1", OFFSET($A$1, 37 - 1, 58 - 1) = "1" ), 1, IF( AND( OFFSET($A$1, 37 - 1, 57 - 1) = "1", OFFSET($A$1, 37 - 1, 58 - 1) = "0" ), 2, IF( AND( OFFSET($A$1, 37 - 1, 57 - 1) = "0", OFFSET($A$1, 37 - 1, 58 - 1) = "1" ), 3, 4 ) ) )</f>
        <v>4</v>
      </c>
    </row>
    <row r="38" spans="2:59" x14ac:dyDescent="0.25">
      <c r="C38" s="17" t="s">
        <v>116</v>
      </c>
      <c r="D38" s="22"/>
      <c r="E38" s="22"/>
      <c r="F38" s="22"/>
      <c r="G38" s="18"/>
      <c r="AY38" s="7">
        <v>0.11764705882352941</v>
      </c>
      <c r="AZ38" s="7" t="str">
        <f>"0"</f>
        <v>0</v>
      </c>
      <c r="BA38" t="str">
        <f ca="1">IF((OFFSET($A$1, 38 - 1, 51 - 1)) &gt;= (OFFSET($A$1, 77 - 1, 7 - 1)), "1","0")</f>
        <v>0</v>
      </c>
      <c r="BB38">
        <f ca="1" xml:space="preserve"> IF( AND( OFFSET($A$1, 38 - 1, 52 - 1) = "1", OFFSET($A$1, 38 - 1, 53 - 1) = "1" ), 1, IF( AND( OFFSET($A$1, 38 - 1, 52 - 1) = "1", OFFSET($A$1, 38 - 1, 53 - 1) = "0" ), 2, IF( AND( OFFSET($A$1, 38 - 1, 52 - 1) = "0", OFFSET($A$1, 38 - 1, 53 - 1) = "1" ), 3, 4 ) ) )</f>
        <v>4</v>
      </c>
      <c r="BD38" s="7">
        <v>5.8823529411764705E-2</v>
      </c>
      <c r="BE38" s="7" t="str">
        <f>"0"</f>
        <v>0</v>
      </c>
      <c r="BF38" t="str">
        <f ca="1">IF((OFFSET($A$1, 38 - 1, 56 - 1)) &gt;= (OFFSET($A$1, 101 - 1, 7 - 1)), "1","0")</f>
        <v>0</v>
      </c>
      <c r="BG38">
        <f ca="1" xml:space="preserve"> IF( AND( OFFSET($A$1, 38 - 1, 57 - 1) = "1", OFFSET($A$1, 38 - 1, 58 - 1) = "1" ), 1, IF( AND( OFFSET($A$1, 38 - 1, 57 - 1) = "1", OFFSET($A$1, 38 - 1, 58 - 1) = "0" ), 2, IF( AND( OFFSET($A$1, 38 - 1, 57 - 1) = "0", OFFSET($A$1, 38 - 1, 58 - 1) = "1" ), 3, 4 ) ) )</f>
        <v>4</v>
      </c>
    </row>
    <row r="39" spans="2:59" x14ac:dyDescent="0.25">
      <c r="AY39" s="7">
        <v>0</v>
      </c>
      <c r="AZ39" s="7" t="str">
        <f>"0"</f>
        <v>0</v>
      </c>
      <c r="BA39" t="str">
        <f ca="1">IF((OFFSET($A$1, 39 - 1, 51 - 1)) &gt;= (OFFSET($A$1, 77 - 1, 7 - 1)), "1","0")</f>
        <v>0</v>
      </c>
      <c r="BB39">
        <f ca="1" xml:space="preserve"> IF( AND( OFFSET($A$1, 39 - 1, 52 - 1) = "1", OFFSET($A$1, 39 - 1, 53 - 1) = "1" ), 1, IF( AND( OFFSET($A$1, 39 - 1, 52 - 1) = "1", OFFSET($A$1, 39 - 1, 53 - 1) = "0" ), 2, IF( AND( OFFSET($A$1, 39 - 1, 52 - 1) = "0", OFFSET($A$1, 39 - 1, 53 - 1) = "1" ), 3, 4 ) ) )</f>
        <v>4</v>
      </c>
      <c r="BD39" s="7">
        <v>5.8823529411764705E-2</v>
      </c>
      <c r="BE39" s="7" t="str">
        <f>"0"</f>
        <v>0</v>
      </c>
      <c r="BF39" t="str">
        <f ca="1">IF((OFFSET($A$1, 39 - 1, 56 - 1)) &gt;= (OFFSET($A$1, 101 - 1, 7 - 1)), "1","0")</f>
        <v>0</v>
      </c>
      <c r="BG39">
        <f ca="1" xml:space="preserve"> IF( AND( OFFSET($A$1, 39 - 1, 57 - 1) = "1", OFFSET($A$1, 39 - 1, 58 - 1) = "1" ), 1, IF( AND( OFFSET($A$1, 39 - 1, 57 - 1) = "1", OFFSET($A$1, 39 - 1, 58 - 1) = "0" ), 2, IF( AND( OFFSET($A$1, 39 - 1, 57 - 1) = "0", OFFSET($A$1, 39 - 1, 58 - 1) = "1" ), 3, 4 ) ) )</f>
        <v>4</v>
      </c>
    </row>
    <row r="40" spans="2:59" x14ac:dyDescent="0.25">
      <c r="AY40" s="7">
        <v>1</v>
      </c>
      <c r="AZ40" s="7" t="str">
        <f>"1"</f>
        <v>1</v>
      </c>
      <c r="BA40" t="str">
        <f ca="1">IF((OFFSET($A$1, 40 - 1, 51 - 1)) &gt;= (OFFSET($A$1, 77 - 1, 7 - 1)), "1","0")</f>
        <v>1</v>
      </c>
      <c r="BB40">
        <f ca="1" xml:space="preserve"> IF( AND( OFFSET($A$1, 40 - 1, 52 - 1) = "1", OFFSET($A$1, 40 - 1, 53 - 1) = "1" ), 1, IF( AND( OFFSET($A$1, 40 - 1, 52 - 1) = "1", OFFSET($A$1, 40 - 1, 53 - 1) = "0" ), 2, IF( AND( OFFSET($A$1, 40 - 1, 52 - 1) = "0", OFFSET($A$1, 40 - 1, 53 - 1) = "1" ), 3, 4 ) ) )</f>
        <v>1</v>
      </c>
      <c r="BD40" s="7">
        <v>1</v>
      </c>
      <c r="BE40" s="7" t="str">
        <f>"1"</f>
        <v>1</v>
      </c>
      <c r="BF40" t="str">
        <f ca="1">IF((OFFSET($A$1, 40 - 1, 56 - 1)) &gt;= (OFFSET($A$1, 101 - 1, 7 - 1)), "1","0")</f>
        <v>1</v>
      </c>
      <c r="BG40">
        <f ca="1" xml:space="preserve"> IF( AND( OFFSET($A$1, 40 - 1, 57 - 1) = "1", OFFSET($A$1, 40 - 1, 58 - 1) = "1" ), 1, IF( AND( OFFSET($A$1, 40 - 1, 57 - 1) = "1", OFFSET($A$1, 40 - 1, 58 - 1) = "0" ), 2, IF( AND( OFFSET($A$1, 40 - 1, 57 - 1) = "0", OFFSET($A$1, 40 - 1, 58 - 1) = "1" ), 3, 4 ) ) )</f>
        <v>1</v>
      </c>
    </row>
    <row r="41" spans="2:59" ht="18.75" x14ac:dyDescent="0.3">
      <c r="B41" s="25" t="s">
        <v>43</v>
      </c>
      <c r="AY41" s="7">
        <v>0</v>
      </c>
      <c r="AZ41" s="7" t="str">
        <f>"0"</f>
        <v>0</v>
      </c>
      <c r="BA41" t="str">
        <f ca="1">IF((OFFSET($A$1, 41 - 1, 51 - 1)) &gt;= (OFFSET($A$1, 77 - 1, 7 - 1)), "1","0")</f>
        <v>0</v>
      </c>
      <c r="BB41">
        <f ca="1" xml:space="preserve"> IF( AND( OFFSET($A$1, 41 - 1, 52 - 1) = "1", OFFSET($A$1, 41 - 1, 53 - 1) = "1" ), 1, IF( AND( OFFSET($A$1, 41 - 1, 52 - 1) = "1", OFFSET($A$1, 41 - 1, 53 - 1) = "0" ), 2, IF( AND( OFFSET($A$1, 41 - 1, 52 - 1) = "0", OFFSET($A$1, 41 - 1, 53 - 1) = "1" ), 3, 4 ) ) )</f>
        <v>4</v>
      </c>
      <c r="BD41" s="7">
        <v>0.29411764705882354</v>
      </c>
      <c r="BE41" s="7" t="str">
        <f>"0"</f>
        <v>0</v>
      </c>
      <c r="BF41" t="str">
        <f ca="1">IF((OFFSET($A$1, 41 - 1, 56 - 1)) &gt;= (OFFSET($A$1, 101 - 1, 7 - 1)), "1","0")</f>
        <v>0</v>
      </c>
      <c r="BG41">
        <f ca="1" xml:space="preserve"> IF( AND( OFFSET($A$1, 41 - 1, 57 - 1) = "1", OFFSET($A$1, 41 - 1, 58 - 1) = "1" ), 1, IF( AND( OFFSET($A$1, 41 - 1, 57 - 1) = "1", OFFSET($A$1, 41 - 1, 58 - 1) = "0" ), 2, IF( AND( OFFSET($A$1, 41 - 1, 57 - 1) = "0", OFFSET($A$1, 41 - 1, 58 - 1) = "1" ), 3, 4 ) ) )</f>
        <v>4</v>
      </c>
    </row>
    <row r="42" spans="2:59" x14ac:dyDescent="0.25">
      <c r="AY42" s="7">
        <v>0.35294117647058826</v>
      </c>
      <c r="AZ42" s="7" t="str">
        <f>"0"</f>
        <v>0</v>
      </c>
      <c r="BA42" t="str">
        <f ca="1">IF((OFFSET($A$1, 42 - 1, 51 - 1)) &gt;= (OFFSET($A$1, 77 - 1, 7 - 1)), "1","0")</f>
        <v>0</v>
      </c>
      <c r="BB42">
        <f ca="1" xml:space="preserve"> IF( AND( OFFSET($A$1, 42 - 1, 52 - 1) = "1", OFFSET($A$1, 42 - 1, 53 - 1) = "1" ), 1, IF( AND( OFFSET($A$1, 42 - 1, 52 - 1) = "1", OFFSET($A$1, 42 - 1, 53 - 1) = "0" ), 2, IF( AND( OFFSET($A$1, 42 - 1, 52 - 1) = "0", OFFSET($A$1, 42 - 1, 53 - 1) = "1" ), 3, 4 ) ) )</f>
        <v>4</v>
      </c>
      <c r="BD42" s="7">
        <v>0</v>
      </c>
      <c r="BE42" s="7" t="str">
        <f>"0"</f>
        <v>0</v>
      </c>
      <c r="BF42" t="str">
        <f ca="1">IF((OFFSET($A$1, 42 - 1, 56 - 1)) &gt;= (OFFSET($A$1, 101 - 1, 7 - 1)), "1","0")</f>
        <v>0</v>
      </c>
      <c r="BG42">
        <f ca="1" xml:space="preserve"> IF( AND( OFFSET($A$1, 42 - 1, 57 - 1) = "1", OFFSET($A$1, 42 - 1, 58 - 1) = "1" ), 1, IF( AND( OFFSET($A$1, 42 - 1, 57 - 1) = "1", OFFSET($A$1, 42 - 1, 58 - 1) = "0" ), 2, IF( AND( OFFSET($A$1, 42 - 1, 57 - 1) = "0", OFFSET($A$1, 42 - 1, 58 - 1) = "1" ), 3, 4 ) ) )</f>
        <v>4</v>
      </c>
    </row>
    <row r="43" spans="2:59" x14ac:dyDescent="0.25">
      <c r="C43" s="17" t="s">
        <v>110</v>
      </c>
      <c r="D43" s="22"/>
      <c r="E43" s="22"/>
      <c r="F43" s="22"/>
      <c r="G43" s="18"/>
      <c r="AY43" s="7">
        <v>0</v>
      </c>
      <c r="AZ43" s="7" t="str">
        <f>"0"</f>
        <v>0</v>
      </c>
      <c r="BA43" t="str">
        <f ca="1">IF((OFFSET($A$1, 43 - 1, 51 - 1)) &gt;= (OFFSET($A$1, 77 - 1, 7 - 1)), "1","0")</f>
        <v>0</v>
      </c>
      <c r="BB43">
        <f ca="1" xml:space="preserve"> IF( AND( OFFSET($A$1, 43 - 1, 52 - 1) = "1", OFFSET($A$1, 43 - 1, 53 - 1) = "1" ), 1, IF( AND( OFFSET($A$1, 43 - 1, 52 - 1) = "1", OFFSET($A$1, 43 - 1, 53 - 1) = "0" ), 2, IF( AND( OFFSET($A$1, 43 - 1, 52 - 1) = "0", OFFSET($A$1, 43 - 1, 53 - 1) = "1" ), 3, 4 ) ) )</f>
        <v>4</v>
      </c>
      <c r="BD43" s="7">
        <v>0</v>
      </c>
      <c r="BE43" s="7" t="str">
        <f>"0"</f>
        <v>0</v>
      </c>
      <c r="BF43" t="str">
        <f ca="1">IF((OFFSET($A$1, 43 - 1, 56 - 1)) &gt;= (OFFSET($A$1, 101 - 1, 7 - 1)), "1","0")</f>
        <v>0</v>
      </c>
      <c r="BG43">
        <f ca="1" xml:space="preserve"> IF( AND( OFFSET($A$1, 43 - 1, 57 - 1) = "1", OFFSET($A$1, 43 - 1, 58 - 1) = "1" ), 1, IF( AND( OFFSET($A$1, 43 - 1, 57 - 1) = "1", OFFSET($A$1, 43 - 1, 58 - 1) = "0" ), 2, IF( AND( OFFSET($A$1, 43 - 1, 57 - 1) = "0", OFFSET($A$1, 43 - 1, 58 - 1) = "1" ), 3, 4 ) ) )</f>
        <v>4</v>
      </c>
    </row>
    <row r="44" spans="2:59" x14ac:dyDescent="0.25">
      <c r="AY44" s="7">
        <v>0</v>
      </c>
      <c r="AZ44" s="7" t="str">
        <f>"0"</f>
        <v>0</v>
      </c>
      <c r="BA44" t="str">
        <f ca="1">IF((OFFSET($A$1, 44 - 1, 51 - 1)) &gt;= (OFFSET($A$1, 77 - 1, 7 - 1)), "1","0")</f>
        <v>0</v>
      </c>
      <c r="BB44">
        <f ca="1" xml:space="preserve"> IF( AND( OFFSET($A$1, 44 - 1, 52 - 1) = "1", OFFSET($A$1, 44 - 1, 53 - 1) = "1" ), 1, IF( AND( OFFSET($A$1, 44 - 1, 52 - 1) = "1", OFFSET($A$1, 44 - 1, 53 - 1) = "0" ), 2, IF( AND( OFFSET($A$1, 44 - 1, 52 - 1) = "0", OFFSET($A$1, 44 - 1, 53 - 1) = "1" ), 3, 4 ) ) )</f>
        <v>4</v>
      </c>
      <c r="BD44" s="7">
        <v>0.82352941176470584</v>
      </c>
      <c r="BE44" s="7" t="str">
        <f>"1"</f>
        <v>1</v>
      </c>
      <c r="BF44" t="str">
        <f ca="1">IF((OFFSET($A$1, 44 - 1, 56 - 1)) &gt;= (OFFSET($A$1, 101 - 1, 7 - 1)), "1","0")</f>
        <v>1</v>
      </c>
      <c r="BG44">
        <f ca="1" xml:space="preserve"> IF( AND( OFFSET($A$1, 44 - 1, 57 - 1) = "1", OFFSET($A$1, 44 - 1, 58 - 1) = "1" ), 1, IF( AND( OFFSET($A$1, 44 - 1, 57 - 1) = "1", OFFSET($A$1, 44 - 1, 58 - 1) = "0" ), 2, IF( AND( OFFSET($A$1, 44 - 1, 57 - 1) = "0", OFFSET($A$1, 44 - 1, 58 - 1) = "1" ), 3, 4 ) ) )</f>
        <v>1</v>
      </c>
    </row>
    <row r="45" spans="2:59" x14ac:dyDescent="0.25">
      <c r="C45" s="10" t="s">
        <v>35</v>
      </c>
      <c r="D45" s="10" t="s">
        <v>117</v>
      </c>
      <c r="AY45" s="7">
        <v>0</v>
      </c>
      <c r="AZ45" s="7" t="str">
        <f>"0"</f>
        <v>0</v>
      </c>
      <c r="BA45" t="str">
        <f ca="1">IF((OFFSET($A$1, 45 - 1, 51 - 1)) &gt;= (OFFSET($A$1, 77 - 1, 7 - 1)), "1","0")</f>
        <v>0</v>
      </c>
      <c r="BB45">
        <f ca="1" xml:space="preserve"> IF( AND( OFFSET($A$1, 45 - 1, 52 - 1) = "1", OFFSET($A$1, 45 - 1, 53 - 1) = "1" ), 1, IF( AND( OFFSET($A$1, 45 - 1, 52 - 1) = "1", OFFSET($A$1, 45 - 1, 53 - 1) = "0" ), 2, IF( AND( OFFSET($A$1, 45 - 1, 52 - 1) = "0", OFFSET($A$1, 45 - 1, 53 - 1) = "1" ), 3, 4 ) ) )</f>
        <v>4</v>
      </c>
      <c r="BD45" s="7">
        <v>0</v>
      </c>
      <c r="BE45" s="7" t="str">
        <f>"0"</f>
        <v>0</v>
      </c>
      <c r="BF45" t="str">
        <f ca="1">IF((OFFSET($A$1, 45 - 1, 56 - 1)) &gt;= (OFFSET($A$1, 101 - 1, 7 - 1)), "1","0")</f>
        <v>0</v>
      </c>
      <c r="BG45">
        <f ca="1" xml:space="preserve"> IF( AND( OFFSET($A$1, 45 - 1, 57 - 1) = "1", OFFSET($A$1, 45 - 1, 58 - 1) = "1" ), 1, IF( AND( OFFSET($A$1, 45 - 1, 57 - 1) = "1", OFFSET($A$1, 45 - 1, 58 - 1) = "0" ), 2, IF( AND( OFFSET($A$1, 45 - 1, 57 - 1) = "0", OFFSET($A$1, 45 - 1, 58 - 1) = "1" ), 3, 4 ) ) )</f>
        <v>4</v>
      </c>
    </row>
    <row r="46" spans="2:59" x14ac:dyDescent="0.25">
      <c r="C46" s="9">
        <v>0</v>
      </c>
      <c r="D46" s="7">
        <v>0.66833333333333333</v>
      </c>
      <c r="AY46" s="7">
        <v>0.47058823529411764</v>
      </c>
      <c r="AZ46" s="7" t="str">
        <f>"0"</f>
        <v>0</v>
      </c>
      <c r="BA46" t="str">
        <f ca="1">IF((OFFSET($A$1, 46 - 1, 51 - 1)) &gt;= (OFFSET($A$1, 77 - 1, 7 - 1)), "1","0")</f>
        <v>0</v>
      </c>
      <c r="BB46">
        <f ca="1" xml:space="preserve"> IF( AND( OFFSET($A$1, 46 - 1, 52 - 1) = "1", OFFSET($A$1, 46 - 1, 53 - 1) = "1" ), 1, IF( AND( OFFSET($A$1, 46 - 1, 52 - 1) = "1", OFFSET($A$1, 46 - 1, 53 - 1) = "0" ), 2, IF( AND( OFFSET($A$1, 46 - 1, 52 - 1) = "0", OFFSET($A$1, 46 - 1, 53 - 1) = "1" ), 3, 4 ) ) )</f>
        <v>4</v>
      </c>
      <c r="BD46" s="7">
        <v>0.6470588235294118</v>
      </c>
      <c r="BE46" s="7" t="str">
        <f>"1"</f>
        <v>1</v>
      </c>
      <c r="BF46" t="str">
        <f ca="1">IF((OFFSET($A$1, 46 - 1, 56 - 1)) &gt;= (OFFSET($A$1, 101 - 1, 7 - 1)), "1","0")</f>
        <v>1</v>
      </c>
      <c r="BG46">
        <f ca="1" xml:space="preserve"> IF( AND( OFFSET($A$1, 46 - 1, 57 - 1) = "1", OFFSET($A$1, 46 - 1, 58 - 1) = "1" ), 1, IF( AND( OFFSET($A$1, 46 - 1, 57 - 1) = "1", OFFSET($A$1, 46 - 1, 58 - 1) = "0" ), 2, IF( AND( OFFSET($A$1, 46 - 1, 57 - 1) = "0", OFFSET($A$1, 46 - 1, 58 - 1) = "1" ), 3, 4 ) ) )</f>
        <v>1</v>
      </c>
    </row>
    <row r="47" spans="2:59" x14ac:dyDescent="0.25">
      <c r="C47" s="9">
        <v>1</v>
      </c>
      <c r="D47" s="7">
        <v>0.33166666666666667</v>
      </c>
      <c r="AY47" s="7">
        <v>0</v>
      </c>
      <c r="AZ47" s="7" t="str">
        <f>"0"</f>
        <v>0</v>
      </c>
      <c r="BA47" t="str">
        <f ca="1">IF((OFFSET($A$1, 47 - 1, 51 - 1)) &gt;= (OFFSET($A$1, 77 - 1, 7 - 1)), "1","0")</f>
        <v>0</v>
      </c>
      <c r="BB47">
        <f ca="1" xml:space="preserve"> IF( AND( OFFSET($A$1, 47 - 1, 52 - 1) = "1", OFFSET($A$1, 47 - 1, 53 - 1) = "1" ), 1, IF( AND( OFFSET($A$1, 47 - 1, 52 - 1) = "1", OFFSET($A$1, 47 - 1, 53 - 1) = "0" ), 2, IF( AND( OFFSET($A$1, 47 - 1, 52 - 1) = "0", OFFSET($A$1, 47 - 1, 53 - 1) = "1" ), 3, 4 ) ) )</f>
        <v>4</v>
      </c>
      <c r="BD47" s="7">
        <v>0</v>
      </c>
      <c r="BE47" s="7" t="str">
        <f>"0"</f>
        <v>0</v>
      </c>
      <c r="BF47" t="str">
        <f ca="1">IF((OFFSET($A$1, 47 - 1, 56 - 1)) &gt;= (OFFSET($A$1, 101 - 1, 7 - 1)), "1","0")</f>
        <v>0</v>
      </c>
      <c r="BG47">
        <f ca="1" xml:space="preserve"> IF( AND( OFFSET($A$1, 47 - 1, 57 - 1) = "1", OFFSET($A$1, 47 - 1, 58 - 1) = "1" ), 1, IF( AND( OFFSET($A$1, 47 - 1, 57 - 1) = "1", OFFSET($A$1, 47 - 1, 58 - 1) = "0" ), 2, IF( AND( OFFSET($A$1, 47 - 1, 57 - 1) = "0", OFFSET($A$1, 47 - 1, 58 - 1) = "1" ), 3, 4 ) ) )</f>
        <v>4</v>
      </c>
    </row>
    <row r="48" spans="2:59" x14ac:dyDescent="0.25">
      <c r="AY48" s="7">
        <v>0.29411764705882354</v>
      </c>
      <c r="AZ48" s="7" t="str">
        <f>"0"</f>
        <v>0</v>
      </c>
      <c r="BA48" t="str">
        <f ca="1">IF((OFFSET($A$1, 48 - 1, 51 - 1)) &gt;= (OFFSET($A$1, 77 - 1, 7 - 1)), "1","0")</f>
        <v>0</v>
      </c>
      <c r="BB48">
        <f ca="1" xml:space="preserve"> IF( AND( OFFSET($A$1, 48 - 1, 52 - 1) = "1", OFFSET($A$1, 48 - 1, 53 - 1) = "1" ), 1, IF( AND( OFFSET($A$1, 48 - 1, 52 - 1) = "1", OFFSET($A$1, 48 - 1, 53 - 1) = "0" ), 2, IF( AND( OFFSET($A$1, 48 - 1, 52 - 1) = "0", OFFSET($A$1, 48 - 1, 53 - 1) = "1" ), 3, 4 ) ) )</f>
        <v>4</v>
      </c>
      <c r="BD48" s="7">
        <v>0.82352941176470584</v>
      </c>
      <c r="BE48" s="7" t="str">
        <f>"1"</f>
        <v>1</v>
      </c>
      <c r="BF48" t="str">
        <f ca="1">IF((OFFSET($A$1, 48 - 1, 56 - 1)) &gt;= (OFFSET($A$1, 101 - 1, 7 - 1)), "1","0")</f>
        <v>1</v>
      </c>
      <c r="BG48">
        <f ca="1" xml:space="preserve"> IF( AND( OFFSET($A$1, 48 - 1, 57 - 1) = "1", OFFSET($A$1, 48 - 1, 58 - 1) = "1" ), 1, IF( AND( OFFSET($A$1, 48 - 1, 57 - 1) = "1", OFFSET($A$1, 48 - 1, 58 - 1) = "0" ), 2, IF( AND( OFFSET($A$1, 48 - 1, 57 - 1) = "0", OFFSET($A$1, 48 - 1, 58 - 1) = "1" ), 3, 4 ) ) )</f>
        <v>1</v>
      </c>
    </row>
    <row r="49" spans="2:59" x14ac:dyDescent="0.25">
      <c r="AY49" s="7">
        <v>0.6470588235294118</v>
      </c>
      <c r="AZ49" s="7" t="str">
        <f>"1"</f>
        <v>1</v>
      </c>
      <c r="BA49" t="str">
        <f ca="1">IF((OFFSET($A$1, 49 - 1, 51 - 1)) &gt;= (OFFSET($A$1, 77 - 1, 7 - 1)), "1","0")</f>
        <v>1</v>
      </c>
      <c r="BB49">
        <f ca="1" xml:space="preserve"> IF( AND( OFFSET($A$1, 49 - 1, 52 - 1) = "1", OFFSET($A$1, 49 - 1, 53 - 1) = "1" ), 1, IF( AND( OFFSET($A$1, 49 - 1, 52 - 1) = "1", OFFSET($A$1, 49 - 1, 53 - 1) = "0" ), 2, IF( AND( OFFSET($A$1, 49 - 1, 52 - 1) = "0", OFFSET($A$1, 49 - 1, 53 - 1) = "1" ), 3, 4 ) ) )</f>
        <v>1</v>
      </c>
      <c r="BD49" s="7">
        <v>0</v>
      </c>
      <c r="BE49" s="7" t="str">
        <f>"0"</f>
        <v>0</v>
      </c>
      <c r="BF49" t="str">
        <f ca="1">IF((OFFSET($A$1, 49 - 1, 56 - 1)) &gt;= (OFFSET($A$1, 101 - 1, 7 - 1)), "1","0")</f>
        <v>0</v>
      </c>
      <c r="BG49">
        <f ca="1" xml:space="preserve"> IF( AND( OFFSET($A$1, 49 - 1, 57 - 1) = "1", OFFSET($A$1, 49 - 1, 58 - 1) = "1" ), 1, IF( AND( OFFSET($A$1, 49 - 1, 57 - 1) = "1", OFFSET($A$1, 49 - 1, 58 - 1) = "0" ), 2, IF( AND( OFFSET($A$1, 49 - 1, 57 - 1) = "0", OFFSET($A$1, 49 - 1, 58 - 1) = "1" ), 3, 4 ) ) )</f>
        <v>4</v>
      </c>
    </row>
    <row r="50" spans="2:59" ht="18.75" x14ac:dyDescent="0.3">
      <c r="B50" s="25" t="s">
        <v>118</v>
      </c>
      <c r="AY50" s="7">
        <v>0.88235294117647056</v>
      </c>
      <c r="AZ50" s="7" t="str">
        <f>"1"</f>
        <v>1</v>
      </c>
      <c r="BA50" t="str">
        <f ca="1">IF((OFFSET($A$1, 50 - 1, 51 - 1)) &gt;= (OFFSET($A$1, 77 - 1, 7 - 1)), "1","0")</f>
        <v>1</v>
      </c>
      <c r="BB50">
        <f ca="1" xml:space="preserve"> IF( AND( OFFSET($A$1, 50 - 1, 52 - 1) = "1", OFFSET($A$1, 50 - 1, 53 - 1) = "1" ), 1, IF( AND( OFFSET($A$1, 50 - 1, 52 - 1) = "1", OFFSET($A$1, 50 - 1, 53 - 1) = "0" ), 2, IF( AND( OFFSET($A$1, 50 - 1, 52 - 1) = "0", OFFSET($A$1, 50 - 1, 53 - 1) = "1" ), 3, 4 ) ) )</f>
        <v>1</v>
      </c>
      <c r="BD50" s="7">
        <v>0.82352941176470584</v>
      </c>
      <c r="BE50" s="7" t="str">
        <f>"0"</f>
        <v>0</v>
      </c>
      <c r="BF50" t="str">
        <f ca="1">IF((OFFSET($A$1, 50 - 1, 56 - 1)) &gt;= (OFFSET($A$1, 101 - 1, 7 - 1)), "1","0")</f>
        <v>1</v>
      </c>
      <c r="BG50">
        <f ca="1" xml:space="preserve"> IF( AND( OFFSET($A$1, 50 - 1, 57 - 1) = "1", OFFSET($A$1, 50 - 1, 58 - 1) = "1" ), 1, IF( AND( OFFSET($A$1, 50 - 1, 57 - 1) = "1", OFFSET($A$1, 50 - 1, 58 - 1) = "0" ), 2, IF( AND( OFFSET($A$1, 50 - 1, 57 - 1) = "0", OFFSET($A$1, 50 - 1, 58 - 1) = "1" ), 3, 4 ) ) )</f>
        <v>3</v>
      </c>
    </row>
    <row r="51" spans="2:59" x14ac:dyDescent="0.25">
      <c r="AY51" s="7">
        <v>0</v>
      </c>
      <c r="AZ51" s="7" t="str">
        <f>"0"</f>
        <v>0</v>
      </c>
      <c r="BA51" t="str">
        <f ca="1">IF((OFFSET($A$1, 51 - 1, 51 - 1)) &gt;= (OFFSET($A$1, 77 - 1, 7 - 1)), "1","0")</f>
        <v>0</v>
      </c>
      <c r="BB51">
        <f ca="1" xml:space="preserve"> IF( AND( OFFSET($A$1, 51 - 1, 52 - 1) = "1", OFFSET($A$1, 51 - 1, 53 - 1) = "1" ), 1, IF( AND( OFFSET($A$1, 51 - 1, 52 - 1) = "1", OFFSET($A$1, 51 - 1, 53 - 1) = "0" ), 2, IF( AND( OFFSET($A$1, 51 - 1, 52 - 1) = "0", OFFSET($A$1, 51 - 1, 53 - 1) = "1" ), 3, 4 ) ) )</f>
        <v>4</v>
      </c>
      <c r="BD51" s="7">
        <v>0.11764705882352941</v>
      </c>
      <c r="BE51" s="7" t="str">
        <f>"0"</f>
        <v>0</v>
      </c>
      <c r="BF51" t="str">
        <f ca="1">IF((OFFSET($A$1, 51 - 1, 56 - 1)) &gt;= (OFFSET($A$1, 101 - 1, 7 - 1)), "1","0")</f>
        <v>0</v>
      </c>
      <c r="BG51">
        <f ca="1" xml:space="preserve"> IF( AND( OFFSET($A$1, 51 - 1, 57 - 1) = "1", OFFSET($A$1, 51 - 1, 58 - 1) = "1" ), 1, IF( AND( OFFSET($A$1, 51 - 1, 57 - 1) = "1", OFFSET($A$1, 51 - 1, 58 - 1) = "0" ), 2, IF( AND( OFFSET($A$1, 51 - 1, 57 - 1) = "0", OFFSET($A$1, 51 - 1, 58 - 1) = "1" ), 3, 4 ) ) )</f>
        <v>4</v>
      </c>
    </row>
    <row r="52" spans="2:59" ht="26.25" x14ac:dyDescent="0.25">
      <c r="C52" s="10" t="s">
        <v>119</v>
      </c>
      <c r="D52" s="27" t="s">
        <v>120</v>
      </c>
      <c r="E52" s="27" t="s">
        <v>121</v>
      </c>
      <c r="AY52" s="7">
        <v>5.8823529411764705E-2</v>
      </c>
      <c r="AZ52" s="7" t="str">
        <f>"0"</f>
        <v>0</v>
      </c>
      <c r="BA52" t="str">
        <f ca="1">IF((OFFSET($A$1, 52 - 1, 51 - 1)) &gt;= (OFFSET($A$1, 77 - 1, 7 - 1)), "1","0")</f>
        <v>0</v>
      </c>
      <c r="BB52">
        <f ca="1" xml:space="preserve"> IF( AND( OFFSET($A$1, 52 - 1, 52 - 1) = "1", OFFSET($A$1, 52 - 1, 53 - 1) = "1" ), 1, IF( AND( OFFSET($A$1, 52 - 1, 52 - 1) = "1", OFFSET($A$1, 52 - 1, 53 - 1) = "0" ), 2, IF( AND( OFFSET($A$1, 52 - 1, 52 - 1) = "0", OFFSET($A$1, 52 - 1, 53 - 1) = "1" ), 3, 4 ) ) )</f>
        <v>4</v>
      </c>
      <c r="BD52" s="7">
        <v>0.47058823529411764</v>
      </c>
      <c r="BE52" s="7" t="str">
        <f>"0"</f>
        <v>0</v>
      </c>
      <c r="BF52" t="str">
        <f ca="1">IF((OFFSET($A$1, 52 - 1, 56 - 1)) &gt;= (OFFSET($A$1, 101 - 1, 7 - 1)), "1","0")</f>
        <v>0</v>
      </c>
      <c r="BG52">
        <f ca="1" xml:space="preserve"> IF( AND( OFFSET($A$1, 52 - 1, 57 - 1) = "1", OFFSET($A$1, 52 - 1, 58 - 1) = "1" ), 1, IF( AND( OFFSET($A$1, 52 - 1, 57 - 1) = "1", OFFSET($A$1, 52 - 1, 58 - 1) = "0" ), 2, IF( AND( OFFSET($A$1, 52 - 1, 57 - 1) = "0", OFFSET($A$1, 52 - 1, 58 - 1) = "1" ), 3, 4 ) ) )</f>
        <v>4</v>
      </c>
    </row>
    <row r="53" spans="2:59" x14ac:dyDescent="0.25">
      <c r="C53" s="7">
        <v>1</v>
      </c>
      <c r="D53" s="7">
        <v>2.166666666666667</v>
      </c>
      <c r="E53" s="7">
        <v>14.249999999999998</v>
      </c>
      <c r="AY53" s="7">
        <v>5.8823529411764705E-2</v>
      </c>
      <c r="AZ53" s="7" t="str">
        <f>"0"</f>
        <v>0</v>
      </c>
      <c r="BA53" t="str">
        <f ca="1">IF((OFFSET($A$1, 53 - 1, 51 - 1)) &gt;= (OFFSET($A$1, 77 - 1, 7 - 1)), "1","0")</f>
        <v>0</v>
      </c>
      <c r="BB53">
        <f ca="1" xml:space="preserve"> IF( AND( OFFSET($A$1, 53 - 1, 52 - 1) = "1", OFFSET($A$1, 53 - 1, 53 - 1) = "1" ), 1, IF( AND( OFFSET($A$1, 53 - 1, 52 - 1) = "1", OFFSET($A$1, 53 - 1, 53 - 1) = "0" ), 2, IF( AND( OFFSET($A$1, 53 - 1, 52 - 1) = "0", OFFSET($A$1, 53 - 1, 53 - 1) = "1" ), 3, 4 ) ) )</f>
        <v>4</v>
      </c>
      <c r="BD53" s="7">
        <v>0.82352941176470584</v>
      </c>
      <c r="BE53" s="7" t="str">
        <f>"1"</f>
        <v>1</v>
      </c>
      <c r="BF53" t="str">
        <f ca="1">IF((OFFSET($A$1, 53 - 1, 56 - 1)) &gt;= (OFFSET($A$1, 101 - 1, 7 - 1)), "1","0")</f>
        <v>1</v>
      </c>
      <c r="BG53">
        <f ca="1" xml:space="preserve"> IF( AND( OFFSET($A$1, 53 - 1, 57 - 1) = "1", OFFSET($A$1, 53 - 1, 58 - 1) = "1" ), 1, IF( AND( OFFSET($A$1, 53 - 1, 57 - 1) = "1", OFFSET($A$1, 53 - 1, 58 - 1) = "0" ), 2, IF( AND( OFFSET($A$1, 53 - 1, 57 - 1) = "0", OFFSET($A$1, 53 - 1, 58 - 1) = "1" ), 3, 4 ) ) )</f>
        <v>1</v>
      </c>
    </row>
    <row r="54" spans="2:59" x14ac:dyDescent="0.25">
      <c r="C54" s="7">
        <v>2</v>
      </c>
      <c r="D54" s="7">
        <v>5.5</v>
      </c>
      <c r="E54" s="7">
        <v>14.249999999999998</v>
      </c>
      <c r="AY54" s="7">
        <v>1</v>
      </c>
      <c r="AZ54" s="7" t="str">
        <f>"1"</f>
        <v>1</v>
      </c>
      <c r="BA54" t="str">
        <f ca="1">IF((OFFSET($A$1, 54 - 1, 51 - 1)) &gt;= (OFFSET($A$1, 77 - 1, 7 - 1)), "1","0")</f>
        <v>1</v>
      </c>
      <c r="BB54">
        <f ca="1" xml:space="preserve"> IF( AND( OFFSET($A$1, 54 - 1, 52 - 1) = "1", OFFSET($A$1, 54 - 1, 53 - 1) = "1" ), 1, IF( AND( OFFSET($A$1, 54 - 1, 52 - 1) = "1", OFFSET($A$1, 54 - 1, 53 - 1) = "0" ), 2, IF( AND( OFFSET($A$1, 54 - 1, 52 - 1) = "0", OFFSET($A$1, 54 - 1, 53 - 1) = "1" ), 3, 4 ) ) )</f>
        <v>1</v>
      </c>
      <c r="BD54" s="7">
        <v>0</v>
      </c>
      <c r="BE54" s="7" t="str">
        <f>"0"</f>
        <v>0</v>
      </c>
      <c r="BF54" t="str">
        <f ca="1">IF((OFFSET($A$1, 54 - 1, 56 - 1)) &gt;= (OFFSET($A$1, 101 - 1, 7 - 1)), "1","0")</f>
        <v>0</v>
      </c>
      <c r="BG54">
        <f ca="1" xml:space="preserve"> IF( AND( OFFSET($A$1, 54 - 1, 57 - 1) = "1", OFFSET($A$1, 54 - 1, 58 - 1) = "1" ), 1, IF( AND( OFFSET($A$1, 54 - 1, 57 - 1) = "1", OFFSET($A$1, 54 - 1, 58 - 1) = "0" ), 2, IF( AND( OFFSET($A$1, 54 - 1, 57 - 1) = "0", OFFSET($A$1, 54 - 1, 58 - 1) = "1" ), 3, 4 ) ) )</f>
        <v>4</v>
      </c>
    </row>
    <row r="55" spans="2:59" x14ac:dyDescent="0.25">
      <c r="C55" s="7">
        <v>3</v>
      </c>
      <c r="D55" s="7">
        <v>5.5</v>
      </c>
      <c r="E55" s="7">
        <v>11.25</v>
      </c>
      <c r="AY55" s="7">
        <v>1</v>
      </c>
      <c r="AZ55" s="7" t="str">
        <f>"1"</f>
        <v>1</v>
      </c>
      <c r="BA55" t="str">
        <f ca="1">IF((OFFSET($A$1, 55 - 1, 51 - 1)) &gt;= (OFFSET($A$1, 77 - 1, 7 - 1)), "1","0")</f>
        <v>1</v>
      </c>
      <c r="BB55">
        <f ca="1" xml:space="preserve"> IF( AND( OFFSET($A$1, 55 - 1, 52 - 1) = "1", OFFSET($A$1, 55 - 1, 53 - 1) = "1" ), 1, IF( AND( OFFSET($A$1, 55 - 1, 52 - 1) = "1", OFFSET($A$1, 55 - 1, 53 - 1) = "0" ), 2, IF( AND( OFFSET($A$1, 55 - 1, 52 - 1) = "0", OFFSET($A$1, 55 - 1, 53 - 1) = "1" ), 3, 4 ) ) )</f>
        <v>1</v>
      </c>
      <c r="BD55" s="7">
        <v>0</v>
      </c>
      <c r="BE55" s="7" t="str">
        <f>"0"</f>
        <v>0</v>
      </c>
      <c r="BF55" t="str">
        <f ca="1">IF((OFFSET($A$1, 55 - 1, 56 - 1)) &gt;= (OFFSET($A$1, 101 - 1, 7 - 1)), "1","0")</f>
        <v>0</v>
      </c>
      <c r="BG55">
        <f ca="1" xml:space="preserve"> IF( AND( OFFSET($A$1, 55 - 1, 57 - 1) = "1", OFFSET($A$1, 55 - 1, 58 - 1) = "1" ), 1, IF( AND( OFFSET($A$1, 55 - 1, 57 - 1) = "1", OFFSET($A$1, 55 - 1, 58 - 1) = "0" ), 2, IF( AND( OFFSET($A$1, 55 - 1, 57 - 1) = "0", OFFSET($A$1, 55 - 1, 58 - 1) = "1" ), 3, 4 ) ) )</f>
        <v>4</v>
      </c>
    </row>
    <row r="56" spans="2:59" x14ac:dyDescent="0.25">
      <c r="C56" s="7">
        <v>4</v>
      </c>
      <c r="D56" s="7">
        <v>7.0000000000000009</v>
      </c>
      <c r="E56" s="7">
        <v>12</v>
      </c>
      <c r="AY56" s="7">
        <v>0.88235294117647056</v>
      </c>
      <c r="AZ56" s="7" t="str">
        <f>"1"</f>
        <v>1</v>
      </c>
      <c r="BA56" t="str">
        <f ca="1">IF((OFFSET($A$1, 56 - 1, 51 - 1)) &gt;= (OFFSET($A$1, 77 - 1, 7 - 1)), "1","0")</f>
        <v>1</v>
      </c>
      <c r="BB56">
        <f ca="1" xml:space="preserve"> IF( AND( OFFSET($A$1, 56 - 1, 52 - 1) = "1", OFFSET($A$1, 56 - 1, 53 - 1) = "1" ), 1, IF( AND( OFFSET($A$1, 56 - 1, 52 - 1) = "1", OFFSET($A$1, 56 - 1, 53 - 1) = "0" ), 2, IF( AND( OFFSET($A$1, 56 - 1, 52 - 1) = "0", OFFSET($A$1, 56 - 1, 53 - 1) = "1" ), 3, 4 ) ) )</f>
        <v>1</v>
      </c>
      <c r="BD56" s="7">
        <v>0.82352941176470584</v>
      </c>
      <c r="BE56" s="7" t="str">
        <f>"0"</f>
        <v>0</v>
      </c>
      <c r="BF56" t="str">
        <f ca="1">IF((OFFSET($A$1, 56 - 1, 56 - 1)) &gt;= (OFFSET($A$1, 101 - 1, 7 - 1)), "1","0")</f>
        <v>1</v>
      </c>
      <c r="BG56">
        <f ca="1" xml:space="preserve"> IF( AND( OFFSET($A$1, 56 - 1, 57 - 1) = "1", OFFSET($A$1, 56 - 1, 58 - 1) = "1" ), 1, IF( AND( OFFSET($A$1, 56 - 1, 57 - 1) = "1", OFFSET($A$1, 56 - 1, 58 - 1) = "0" ), 2, IF( AND( OFFSET($A$1, 56 - 1, 57 - 1) = "0", OFFSET($A$1, 56 - 1, 58 - 1) = "1" ), 3, 4 ) ) )</f>
        <v>3</v>
      </c>
    </row>
    <row r="57" spans="2:59" x14ac:dyDescent="0.25">
      <c r="C57" s="7">
        <v>5</v>
      </c>
      <c r="D57" s="7">
        <v>7.333333333333333</v>
      </c>
      <c r="E57" s="7">
        <v>11</v>
      </c>
      <c r="AY57" s="7">
        <v>0.88235294117647056</v>
      </c>
      <c r="AZ57" s="7" t="str">
        <f>"1"</f>
        <v>1</v>
      </c>
      <c r="BA57" t="str">
        <f ca="1">IF((OFFSET($A$1, 57 - 1, 51 - 1)) &gt;= (OFFSET($A$1, 77 - 1, 7 - 1)), "1","0")</f>
        <v>1</v>
      </c>
      <c r="BB57">
        <f ca="1" xml:space="preserve"> IF( AND( OFFSET($A$1, 57 - 1, 52 - 1) = "1", OFFSET($A$1, 57 - 1, 53 - 1) = "1" ), 1, IF( AND( OFFSET($A$1, 57 - 1, 52 - 1) = "1", OFFSET($A$1, 57 - 1, 53 - 1) = "0" ), 2, IF( AND( OFFSET($A$1, 57 - 1, 52 - 1) = "0", OFFSET($A$1, 57 - 1, 53 - 1) = "1" ), 3, 4 ) ) )</f>
        <v>1</v>
      </c>
      <c r="BD57" s="7">
        <v>0</v>
      </c>
      <c r="BE57" s="7" t="str">
        <f>"0"</f>
        <v>0</v>
      </c>
      <c r="BF57" t="str">
        <f ca="1">IF((OFFSET($A$1, 57 - 1, 56 - 1)) &gt;= (OFFSET($A$1, 101 - 1, 7 - 1)), "1","0")</f>
        <v>0</v>
      </c>
      <c r="BG57">
        <f ca="1" xml:space="preserve"> IF( AND( OFFSET($A$1, 57 - 1, 57 - 1) = "1", OFFSET($A$1, 57 - 1, 58 - 1) = "1" ), 1, IF( AND( OFFSET($A$1, 57 - 1, 57 - 1) = "1", OFFSET($A$1, 57 - 1, 58 - 1) = "0" ), 2, IF( AND( OFFSET($A$1, 57 - 1, 57 - 1) = "0", OFFSET($A$1, 57 - 1, 58 - 1) = "1" ), 3, 4 ) ) )</f>
        <v>4</v>
      </c>
    </row>
    <row r="58" spans="2:59" x14ac:dyDescent="0.25">
      <c r="C58" s="7">
        <v>6</v>
      </c>
      <c r="D58" s="7">
        <v>7.8333333333333339</v>
      </c>
      <c r="E58" s="7">
        <v>11.25</v>
      </c>
      <c r="AY58" s="7">
        <v>0.94117647058823528</v>
      </c>
      <c r="AZ58" s="7" t="str">
        <f>"1"</f>
        <v>1</v>
      </c>
      <c r="BA58" t="str">
        <f ca="1">IF((OFFSET($A$1, 58 - 1, 51 - 1)) &gt;= (OFFSET($A$1, 77 - 1, 7 - 1)), "1","0")</f>
        <v>1</v>
      </c>
      <c r="BB58">
        <f ca="1" xml:space="preserve"> IF( AND( OFFSET($A$1, 58 - 1, 52 - 1) = "1", OFFSET($A$1, 58 - 1, 53 - 1) = "1" ), 1, IF( AND( OFFSET($A$1, 58 - 1, 52 - 1) = "1", OFFSET($A$1, 58 - 1, 53 - 1) = "0" ), 2, IF( AND( OFFSET($A$1, 58 - 1, 52 - 1) = "0", OFFSET($A$1, 58 - 1, 53 - 1) = "1" ), 3, 4 ) ) )</f>
        <v>1</v>
      </c>
      <c r="BD58" s="7">
        <v>0.88235294117647056</v>
      </c>
      <c r="BE58" s="7" t="str">
        <f>"1"</f>
        <v>1</v>
      </c>
      <c r="BF58" t="str">
        <f ca="1">IF((OFFSET($A$1, 58 - 1, 56 - 1)) &gt;= (OFFSET($A$1, 101 - 1, 7 - 1)), "1","0")</f>
        <v>1</v>
      </c>
      <c r="BG58">
        <f ca="1" xml:space="preserve"> IF( AND( OFFSET($A$1, 58 - 1, 57 - 1) = "1", OFFSET($A$1, 58 - 1, 58 - 1) = "1" ), 1, IF( AND( OFFSET($A$1, 58 - 1, 57 - 1) = "1", OFFSET($A$1, 58 - 1, 58 - 1) = "0" ), 2, IF( AND( OFFSET($A$1, 58 - 1, 57 - 1) = "0", OFFSET($A$1, 58 - 1, 58 - 1) = "1" ), 3, 4 ) ) )</f>
        <v>1</v>
      </c>
    </row>
    <row r="59" spans="2:59" x14ac:dyDescent="0.25">
      <c r="C59" s="7">
        <v>7</v>
      </c>
      <c r="D59" s="7">
        <v>7.333333333333333</v>
      </c>
      <c r="E59" s="7">
        <v>10.75</v>
      </c>
      <c r="AY59" s="7">
        <v>0</v>
      </c>
      <c r="AZ59" s="7" t="str">
        <f>"0"</f>
        <v>0</v>
      </c>
      <c r="BA59" t="str">
        <f ca="1">IF((OFFSET($A$1, 59 - 1, 51 - 1)) &gt;= (OFFSET($A$1, 77 - 1, 7 - 1)), "1","0")</f>
        <v>0</v>
      </c>
      <c r="BB59">
        <f ca="1" xml:space="preserve"> IF( AND( OFFSET($A$1, 59 - 1, 52 - 1) = "1", OFFSET($A$1, 59 - 1, 53 - 1) = "1" ), 1, IF( AND( OFFSET($A$1, 59 - 1, 52 - 1) = "1", OFFSET($A$1, 59 - 1, 53 - 1) = "0" ), 2, IF( AND( OFFSET($A$1, 59 - 1, 52 - 1) = "0", OFFSET($A$1, 59 - 1, 53 - 1) = "1" ), 3, 4 ) ) )</f>
        <v>4</v>
      </c>
      <c r="BD59" s="7">
        <v>0</v>
      </c>
      <c r="BE59" s="7" t="str">
        <f>"0"</f>
        <v>0</v>
      </c>
      <c r="BF59" t="str">
        <f ca="1">IF((OFFSET($A$1, 59 - 1, 56 - 1)) &gt;= (OFFSET($A$1, 101 - 1, 7 - 1)), "1","0")</f>
        <v>0</v>
      </c>
      <c r="BG59">
        <f ca="1" xml:space="preserve"> IF( AND( OFFSET($A$1, 59 - 1, 57 - 1) = "1", OFFSET($A$1, 59 - 1, 58 - 1) = "1" ), 1, IF( AND( OFFSET($A$1, 59 - 1, 57 - 1) = "1", OFFSET($A$1, 59 - 1, 58 - 1) = "0" ), 2, IF( AND( OFFSET($A$1, 59 - 1, 57 - 1) = "0", OFFSET($A$1, 59 - 1, 58 - 1) = "1" ), 3, 4 ) ) )</f>
        <v>4</v>
      </c>
    </row>
    <row r="60" spans="2:59" x14ac:dyDescent="0.25">
      <c r="C60" s="7">
        <v>8</v>
      </c>
      <c r="D60" s="7">
        <v>7.333333333333333</v>
      </c>
      <c r="E60" s="7">
        <v>11</v>
      </c>
      <c r="AY60" s="7">
        <v>0</v>
      </c>
      <c r="AZ60" s="7" t="str">
        <f>"0"</f>
        <v>0</v>
      </c>
      <c r="BA60" t="str">
        <f ca="1">IF((OFFSET($A$1, 60 - 1, 51 - 1)) &gt;= (OFFSET($A$1, 77 - 1, 7 - 1)), "1","0")</f>
        <v>0</v>
      </c>
      <c r="BB60">
        <f ca="1" xml:space="preserve"> IF( AND( OFFSET($A$1, 60 - 1, 52 - 1) = "1", OFFSET($A$1, 60 - 1, 53 - 1) = "1" ), 1, IF( AND( OFFSET($A$1, 60 - 1, 52 - 1) = "1", OFFSET($A$1, 60 - 1, 53 - 1) = "0" ), 2, IF( AND( OFFSET($A$1, 60 - 1, 52 - 1) = "0", OFFSET($A$1, 60 - 1, 53 - 1) = "1" ), 3, 4 ) ) )</f>
        <v>4</v>
      </c>
      <c r="BD60" s="7">
        <v>0.17647058823529413</v>
      </c>
      <c r="BE60" s="7" t="str">
        <f>"0"</f>
        <v>0</v>
      </c>
      <c r="BF60" t="str">
        <f ca="1">IF((OFFSET($A$1, 60 - 1, 56 - 1)) &gt;= (OFFSET($A$1, 101 - 1, 7 - 1)), "1","0")</f>
        <v>0</v>
      </c>
      <c r="BG60">
        <f ca="1" xml:space="preserve"> IF( AND( OFFSET($A$1, 60 - 1, 57 - 1) = "1", OFFSET($A$1, 60 - 1, 58 - 1) = "1" ), 1, IF( AND( OFFSET($A$1, 60 - 1, 57 - 1) = "1", OFFSET($A$1, 60 - 1, 58 - 1) = "0" ), 2, IF( AND( OFFSET($A$1, 60 - 1, 57 - 1) = "0", OFFSET($A$1, 60 - 1, 58 - 1) = "1" ), 3, 4 ) ) )</f>
        <v>4</v>
      </c>
    </row>
    <row r="61" spans="2:59" x14ac:dyDescent="0.25">
      <c r="C61" s="7">
        <v>9</v>
      </c>
      <c r="D61" s="7">
        <v>7.5</v>
      </c>
      <c r="E61" s="7">
        <v>11</v>
      </c>
      <c r="AY61" s="7">
        <v>1</v>
      </c>
      <c r="AZ61" s="7" t="str">
        <f>"1"</f>
        <v>1</v>
      </c>
      <c r="BA61" t="str">
        <f ca="1">IF((OFFSET($A$1, 61 - 1, 51 - 1)) &gt;= (OFFSET($A$1, 77 - 1, 7 - 1)), "1","0")</f>
        <v>1</v>
      </c>
      <c r="BB61">
        <f ca="1" xml:space="preserve"> IF( AND( OFFSET($A$1, 61 - 1, 52 - 1) = "1", OFFSET($A$1, 61 - 1, 53 - 1) = "1" ), 1, IF( AND( OFFSET($A$1, 61 - 1, 52 - 1) = "1", OFFSET($A$1, 61 - 1, 53 - 1) = "0" ), 2, IF( AND( OFFSET($A$1, 61 - 1, 52 - 1) = "0", OFFSET($A$1, 61 - 1, 53 - 1) = "1" ), 3, 4 ) ) )</f>
        <v>1</v>
      </c>
      <c r="BD61" s="7">
        <v>0</v>
      </c>
      <c r="BE61" s="7" t="str">
        <f>"0"</f>
        <v>0</v>
      </c>
      <c r="BF61" t="str">
        <f ca="1">IF((OFFSET($A$1, 61 - 1, 56 - 1)) &gt;= (OFFSET($A$1, 101 - 1, 7 - 1)), "1","0")</f>
        <v>0</v>
      </c>
      <c r="BG61">
        <f ca="1" xml:space="preserve"> IF( AND( OFFSET($A$1, 61 - 1, 57 - 1) = "1", OFFSET($A$1, 61 - 1, 58 - 1) = "1" ), 1, IF( AND( OFFSET($A$1, 61 - 1, 57 - 1) = "1", OFFSET($A$1, 61 - 1, 58 - 1) = "0" ), 2, IF( AND( OFFSET($A$1, 61 - 1, 57 - 1) = "0", OFFSET($A$1, 61 - 1, 58 - 1) = "1" ), 3, 4 ) ) )</f>
        <v>4</v>
      </c>
    </row>
    <row r="62" spans="2:59" x14ac:dyDescent="0.25">
      <c r="C62" s="7">
        <v>10</v>
      </c>
      <c r="D62" s="7">
        <v>8.1666666666666661</v>
      </c>
      <c r="E62" s="7">
        <v>12</v>
      </c>
      <c r="AY62" s="7">
        <v>0.94117647058823528</v>
      </c>
      <c r="AZ62" s="7" t="str">
        <f>"1"</f>
        <v>1</v>
      </c>
      <c r="BA62" t="str">
        <f ca="1">IF((OFFSET($A$1, 62 - 1, 51 - 1)) &gt;= (OFFSET($A$1, 77 - 1, 7 - 1)), "1","0")</f>
        <v>1</v>
      </c>
      <c r="BB62">
        <f ca="1" xml:space="preserve"> IF( AND( OFFSET($A$1, 62 - 1, 52 - 1) = "1", OFFSET($A$1, 62 - 1, 53 - 1) = "1" ), 1, IF( AND( OFFSET($A$1, 62 - 1, 52 - 1) = "1", OFFSET($A$1, 62 - 1, 53 - 1) = "0" ), 2, IF( AND( OFFSET($A$1, 62 - 1, 52 - 1) = "0", OFFSET($A$1, 62 - 1, 53 - 1) = "1" ), 3, 4 ) ) )</f>
        <v>1</v>
      </c>
      <c r="BD62" s="7">
        <v>0.23529411764705882</v>
      </c>
      <c r="BE62" s="7" t="str">
        <f>"0"</f>
        <v>0</v>
      </c>
      <c r="BF62" t="str">
        <f ca="1">IF((OFFSET($A$1, 62 - 1, 56 - 1)) &gt;= (OFFSET($A$1, 101 - 1, 7 - 1)), "1","0")</f>
        <v>0</v>
      </c>
      <c r="BG62">
        <f ca="1" xml:space="preserve"> IF( AND( OFFSET($A$1, 62 - 1, 57 - 1) = "1", OFFSET($A$1, 62 - 1, 58 - 1) = "1" ), 1, IF( AND( OFFSET($A$1, 62 - 1, 57 - 1) = "1", OFFSET($A$1, 62 - 1, 58 - 1) = "0" ), 2, IF( AND( OFFSET($A$1, 62 - 1, 57 - 1) = "0", OFFSET($A$1, 62 - 1, 58 - 1) = "1" ), 3, 4 ) ) )</f>
        <v>4</v>
      </c>
    </row>
    <row r="63" spans="2:59" x14ac:dyDescent="0.25">
      <c r="C63" s="7">
        <v>11</v>
      </c>
      <c r="D63" s="7">
        <v>8.3333333333333321</v>
      </c>
      <c r="E63" s="7">
        <v>12</v>
      </c>
      <c r="AY63" s="7">
        <v>0.82352941176470584</v>
      </c>
      <c r="AZ63" s="7" t="str">
        <f>"1"</f>
        <v>1</v>
      </c>
      <c r="BA63" t="str">
        <f ca="1">IF((OFFSET($A$1, 63 - 1, 51 - 1)) &gt;= (OFFSET($A$1, 77 - 1, 7 - 1)), "1","0")</f>
        <v>1</v>
      </c>
      <c r="BB63">
        <f ca="1" xml:space="preserve"> IF( AND( OFFSET($A$1, 63 - 1, 52 - 1) = "1", OFFSET($A$1, 63 - 1, 53 - 1) = "1" ), 1, IF( AND( OFFSET($A$1, 63 - 1, 52 - 1) = "1", OFFSET($A$1, 63 - 1, 53 - 1) = "0" ), 2, IF( AND( OFFSET($A$1, 63 - 1, 52 - 1) = "0", OFFSET($A$1, 63 - 1, 53 - 1) = "1" ), 3, 4 ) ) )</f>
        <v>1</v>
      </c>
      <c r="BD63" s="7">
        <v>0.35294117647058826</v>
      </c>
      <c r="BE63" s="7" t="str">
        <f>"0"</f>
        <v>0</v>
      </c>
      <c r="BF63" t="str">
        <f ca="1">IF((OFFSET($A$1, 63 - 1, 56 - 1)) &gt;= (OFFSET($A$1, 101 - 1, 7 - 1)), "1","0")</f>
        <v>0</v>
      </c>
      <c r="BG63">
        <f ca="1" xml:space="preserve"> IF( AND( OFFSET($A$1, 63 - 1, 57 - 1) = "1", OFFSET($A$1, 63 - 1, 58 - 1) = "1" ), 1, IF( AND( OFFSET($A$1, 63 - 1, 57 - 1) = "1", OFFSET($A$1, 63 - 1, 58 - 1) = "0" ), 2, IF( AND( OFFSET($A$1, 63 - 1, 57 - 1) = "0", OFFSET($A$1, 63 - 1, 58 - 1) = "1" ), 3, 4 ) ) )</f>
        <v>4</v>
      </c>
    </row>
    <row r="64" spans="2:59" x14ac:dyDescent="0.25">
      <c r="C64" s="7">
        <v>12</v>
      </c>
      <c r="D64" s="7">
        <v>8.5</v>
      </c>
      <c r="E64" s="7">
        <v>12</v>
      </c>
      <c r="AY64" s="7">
        <v>0.11764705882352941</v>
      </c>
      <c r="AZ64" s="7" t="str">
        <f>"0"</f>
        <v>0</v>
      </c>
      <c r="BA64" t="str">
        <f ca="1">IF((OFFSET($A$1, 64 - 1, 51 - 1)) &gt;= (OFFSET($A$1, 77 - 1, 7 - 1)), "1","0")</f>
        <v>0</v>
      </c>
      <c r="BB64">
        <f ca="1" xml:space="preserve"> IF( AND( OFFSET($A$1, 64 - 1, 52 - 1) = "1", OFFSET($A$1, 64 - 1, 53 - 1) = "1" ), 1, IF( AND( OFFSET($A$1, 64 - 1, 52 - 1) = "1", OFFSET($A$1, 64 - 1, 53 - 1) = "0" ), 2, IF( AND( OFFSET($A$1, 64 - 1, 52 - 1) = "0", OFFSET($A$1, 64 - 1, 53 - 1) = "1" ), 3, 4 ) ) )</f>
        <v>4</v>
      </c>
      <c r="BD64" s="7">
        <v>5.8823529411764705E-2</v>
      </c>
      <c r="BE64" s="7" t="str">
        <f>"0"</f>
        <v>0</v>
      </c>
      <c r="BF64" t="str">
        <f ca="1">IF((OFFSET($A$1, 64 - 1, 56 - 1)) &gt;= (OFFSET($A$1, 101 - 1, 7 - 1)), "1","0")</f>
        <v>0</v>
      </c>
      <c r="BG64">
        <f ca="1" xml:space="preserve"> IF( AND( OFFSET($A$1, 64 - 1, 57 - 1) = "1", OFFSET($A$1, 64 - 1, 58 - 1) = "1" ), 1, IF( AND( OFFSET($A$1, 64 - 1, 57 - 1) = "1", OFFSET($A$1, 64 - 1, 58 - 1) = "0" ), 2, IF( AND( OFFSET($A$1, 64 - 1, 57 - 1) = "0", OFFSET($A$1, 64 - 1, 58 - 1) = "1" ), 3, 4 ) ) )</f>
        <v>4</v>
      </c>
    </row>
    <row r="65" spans="2:59" x14ac:dyDescent="0.25">
      <c r="C65" s="7">
        <v>13</v>
      </c>
      <c r="D65" s="7">
        <v>9</v>
      </c>
      <c r="E65" s="7">
        <v>11</v>
      </c>
      <c r="AY65" s="7">
        <v>5.8823529411764705E-2</v>
      </c>
      <c r="AZ65" s="7" t="str">
        <f>"0"</f>
        <v>0</v>
      </c>
      <c r="BA65" t="str">
        <f ca="1">IF((OFFSET($A$1, 65 - 1, 51 - 1)) &gt;= (OFFSET($A$1, 77 - 1, 7 - 1)), "1","0")</f>
        <v>0</v>
      </c>
      <c r="BB65">
        <f ca="1" xml:space="preserve"> IF( AND( OFFSET($A$1, 65 - 1, 52 - 1) = "1", OFFSET($A$1, 65 - 1, 53 - 1) = "1" ), 1, IF( AND( OFFSET($A$1, 65 - 1, 52 - 1) = "1", OFFSET($A$1, 65 - 1, 53 - 1) = "0" ), 2, IF( AND( OFFSET($A$1, 65 - 1, 52 - 1) = "0", OFFSET($A$1, 65 - 1, 53 - 1) = "1" ), 3, 4 ) ) )</f>
        <v>4</v>
      </c>
      <c r="BD65" s="7">
        <v>5.8823529411764705E-2</v>
      </c>
      <c r="BE65" s="7" t="str">
        <f>"0"</f>
        <v>0</v>
      </c>
      <c r="BF65" t="str">
        <f ca="1">IF((OFFSET($A$1, 65 - 1, 56 - 1)) &gt;= (OFFSET($A$1, 101 - 1, 7 - 1)), "1","0")</f>
        <v>0</v>
      </c>
      <c r="BG65">
        <f ca="1" xml:space="preserve"> IF( AND( OFFSET($A$1, 65 - 1, 57 - 1) = "1", OFFSET($A$1, 65 - 1, 58 - 1) = "1" ), 1, IF( AND( OFFSET($A$1, 65 - 1, 57 - 1) = "1", OFFSET($A$1, 65 - 1, 58 - 1) = "0" ), 2, IF( AND( OFFSET($A$1, 65 - 1, 57 - 1) = "0", OFFSET($A$1, 65 - 1, 58 - 1) = "1" ), 3, 4 ) ) )</f>
        <v>4</v>
      </c>
    </row>
    <row r="66" spans="2:59" x14ac:dyDescent="0.25">
      <c r="C66" s="7">
        <v>14</v>
      </c>
      <c r="D66" s="7">
        <v>9.5</v>
      </c>
      <c r="E66" s="7">
        <v>11.25</v>
      </c>
      <c r="AY66" s="7">
        <v>0</v>
      </c>
      <c r="AZ66" s="7" t="str">
        <f>"0"</f>
        <v>0</v>
      </c>
      <c r="BA66" t="str">
        <f ca="1">IF((OFFSET($A$1, 66 - 1, 51 - 1)) &gt;= (OFFSET($A$1, 77 - 1, 7 - 1)), "1","0")</f>
        <v>0</v>
      </c>
      <c r="BB66">
        <f ca="1" xml:space="preserve"> IF( AND( OFFSET($A$1, 66 - 1, 52 - 1) = "1", OFFSET($A$1, 66 - 1, 53 - 1) = "1" ), 1, IF( AND( OFFSET($A$1, 66 - 1, 52 - 1) = "1", OFFSET($A$1, 66 - 1, 53 - 1) = "0" ), 2, IF( AND( OFFSET($A$1, 66 - 1, 52 - 1) = "0", OFFSET($A$1, 66 - 1, 53 - 1) = "1" ), 3, 4 ) ) )</f>
        <v>4</v>
      </c>
      <c r="BD66" s="7">
        <v>0.23529411764705882</v>
      </c>
      <c r="BE66" s="7" t="str">
        <f>"0"</f>
        <v>0</v>
      </c>
      <c r="BF66" t="str">
        <f ca="1">IF((OFFSET($A$1, 66 - 1, 56 - 1)) &gt;= (OFFSET($A$1, 101 - 1, 7 - 1)), "1","0")</f>
        <v>0</v>
      </c>
      <c r="BG66">
        <f ca="1" xml:space="preserve"> IF( AND( OFFSET($A$1, 66 - 1, 57 - 1) = "1", OFFSET($A$1, 66 - 1, 58 - 1) = "1" ), 1, IF( AND( OFFSET($A$1, 66 - 1, 57 - 1) = "1", OFFSET($A$1, 66 - 1, 58 - 1) = "0" ), 2, IF( AND( OFFSET($A$1, 66 - 1, 57 - 1) = "0", OFFSET($A$1, 66 - 1, 58 - 1) = "1" ), 3, 4 ) ) )</f>
        <v>4</v>
      </c>
    </row>
    <row r="67" spans="2:59" x14ac:dyDescent="0.25">
      <c r="C67" s="7">
        <v>15</v>
      </c>
      <c r="D67" s="7">
        <v>8.3333333333333321</v>
      </c>
      <c r="E67" s="7">
        <v>9.75</v>
      </c>
      <c r="AY67" s="7">
        <v>0</v>
      </c>
      <c r="AZ67" s="7" t="str">
        <f>"0"</f>
        <v>0</v>
      </c>
      <c r="BA67" t="str">
        <f ca="1">IF((OFFSET($A$1, 67 - 1, 51 - 1)) &gt;= (OFFSET($A$1, 77 - 1, 7 - 1)), "1","0")</f>
        <v>0</v>
      </c>
      <c r="BB67">
        <f ca="1" xml:space="preserve"> IF( AND( OFFSET($A$1, 67 - 1, 52 - 1) = "1", OFFSET($A$1, 67 - 1, 53 - 1) = "1" ), 1, IF( AND( OFFSET($A$1, 67 - 1, 52 - 1) = "1", OFFSET($A$1, 67 - 1, 53 - 1) = "0" ), 2, IF( AND( OFFSET($A$1, 67 - 1, 52 - 1) = "0", OFFSET($A$1, 67 - 1, 53 - 1) = "1" ), 3, 4 ) ) )</f>
        <v>4</v>
      </c>
      <c r="BD67" s="7">
        <v>0</v>
      </c>
      <c r="BE67" s="7" t="str">
        <f>"0"</f>
        <v>0</v>
      </c>
      <c r="BF67" t="str">
        <f ca="1">IF((OFFSET($A$1, 67 - 1, 56 - 1)) &gt;= (OFFSET($A$1, 101 - 1, 7 - 1)), "1","0")</f>
        <v>0</v>
      </c>
      <c r="BG67">
        <f ca="1" xml:space="preserve"> IF( AND( OFFSET($A$1, 67 - 1, 57 - 1) = "1", OFFSET($A$1, 67 - 1, 58 - 1) = "1" ), 1, IF( AND( OFFSET($A$1, 67 - 1, 57 - 1) = "1", OFFSET($A$1, 67 - 1, 58 - 1) = "0" ), 2, IF( AND( OFFSET($A$1, 67 - 1, 57 - 1) = "0", OFFSET($A$1, 67 - 1, 58 - 1) = "1" ), 3, 4 ) ) )</f>
        <v>4</v>
      </c>
    </row>
    <row r="68" spans="2:59" x14ac:dyDescent="0.25">
      <c r="C68" s="7">
        <v>16</v>
      </c>
      <c r="D68" s="7">
        <v>8.8333333333333339</v>
      </c>
      <c r="E68" s="7">
        <v>9.75</v>
      </c>
      <c r="AY68" s="7">
        <v>0</v>
      </c>
      <c r="AZ68" s="7" t="str">
        <f>"0"</f>
        <v>0</v>
      </c>
      <c r="BA68" t="str">
        <f ca="1">IF((OFFSET($A$1, 68 - 1, 51 - 1)) &gt;= (OFFSET($A$1, 77 - 1, 7 - 1)), "1","0")</f>
        <v>0</v>
      </c>
      <c r="BB68">
        <f ca="1" xml:space="preserve"> IF( AND( OFFSET($A$1, 68 - 1, 52 - 1) = "1", OFFSET($A$1, 68 - 1, 53 - 1) = "1" ), 1, IF( AND( OFFSET($A$1, 68 - 1, 52 - 1) = "1", OFFSET($A$1, 68 - 1, 53 - 1) = "0" ), 2, IF( AND( OFFSET($A$1, 68 - 1, 52 - 1) = "0", OFFSET($A$1, 68 - 1, 53 - 1) = "1" ), 3, 4 ) ) )</f>
        <v>4</v>
      </c>
      <c r="BD68" s="7">
        <v>1</v>
      </c>
      <c r="BE68" s="7" t="str">
        <f>"1"</f>
        <v>1</v>
      </c>
      <c r="BF68" t="str">
        <f ca="1">IF((OFFSET($A$1, 68 - 1, 56 - 1)) &gt;= (OFFSET($A$1, 101 - 1, 7 - 1)), "1","0")</f>
        <v>1</v>
      </c>
      <c r="BG68">
        <f ca="1" xml:space="preserve"> IF( AND( OFFSET($A$1, 68 - 1, 57 - 1) = "1", OFFSET($A$1, 68 - 1, 58 - 1) = "1" ), 1, IF( AND( OFFSET($A$1, 68 - 1, 57 - 1) = "1", OFFSET($A$1, 68 - 1, 58 - 1) = "0" ), 2, IF( AND( OFFSET($A$1, 68 - 1, 57 - 1) = "0", OFFSET($A$1, 68 - 1, 58 - 1) = "1" ), 3, 4 ) ) )</f>
        <v>1</v>
      </c>
    </row>
    <row r="69" spans="2:59" x14ac:dyDescent="0.25">
      <c r="C69" s="7">
        <v>17</v>
      </c>
      <c r="D69" s="7">
        <v>8.3333333333333321</v>
      </c>
      <c r="E69" s="7">
        <v>9.5</v>
      </c>
      <c r="F69" s="9" t="s">
        <v>122</v>
      </c>
      <c r="AY69" s="7">
        <v>1</v>
      </c>
      <c r="AZ69" s="7" t="str">
        <f>"1"</f>
        <v>1</v>
      </c>
      <c r="BA69" t="str">
        <f ca="1">IF((OFFSET($A$1, 69 - 1, 51 - 1)) &gt;= (OFFSET($A$1, 77 - 1, 7 - 1)), "1","0")</f>
        <v>1</v>
      </c>
      <c r="BB69">
        <f ca="1" xml:space="preserve"> IF( AND( OFFSET($A$1, 69 - 1, 52 - 1) = "1", OFFSET($A$1, 69 - 1, 53 - 1) = "1" ), 1, IF( AND( OFFSET($A$1, 69 - 1, 52 - 1) = "1", OFFSET($A$1, 69 - 1, 53 - 1) = "0" ), 2, IF( AND( OFFSET($A$1, 69 - 1, 52 - 1) = "0", OFFSET($A$1, 69 - 1, 53 - 1) = "1" ), 3, 4 ) ) )</f>
        <v>1</v>
      </c>
      <c r="BD69" s="7">
        <v>1</v>
      </c>
      <c r="BE69" s="7" t="str">
        <f>"1"</f>
        <v>1</v>
      </c>
      <c r="BF69" t="str">
        <f ca="1">IF((OFFSET($A$1, 69 - 1, 56 - 1)) &gt;= (OFFSET($A$1, 101 - 1, 7 - 1)), "1","0")</f>
        <v>1</v>
      </c>
      <c r="BG69">
        <f ca="1" xml:space="preserve"> IF( AND( OFFSET($A$1, 69 - 1, 57 - 1) = "1", OFFSET($A$1, 69 - 1, 58 - 1) = "1" ), 1, IF( AND( OFFSET($A$1, 69 - 1, 57 - 1) = "1", OFFSET($A$1, 69 - 1, 58 - 1) = "0" ), 2, IF( AND( OFFSET($A$1, 69 - 1, 57 - 1) = "0", OFFSET($A$1, 69 - 1, 58 - 1) = "1" ), 3, 4 ) ) )</f>
        <v>1</v>
      </c>
    </row>
    <row r="70" spans="2:59" x14ac:dyDescent="0.25">
      <c r="C70" s="7">
        <v>18</v>
      </c>
      <c r="D70" s="7">
        <v>8.8333333333333339</v>
      </c>
      <c r="E70" s="7">
        <v>9.5</v>
      </c>
      <c r="AY70" s="7">
        <v>1</v>
      </c>
      <c r="AZ70" s="7" t="str">
        <f>"1"</f>
        <v>1</v>
      </c>
      <c r="BA70" t="str">
        <f ca="1">IF((OFFSET($A$1, 70 - 1, 51 - 1)) &gt;= (OFFSET($A$1, 77 - 1, 7 - 1)), "1","0")</f>
        <v>1</v>
      </c>
      <c r="BB70">
        <f ca="1" xml:space="preserve"> IF( AND( OFFSET($A$1, 70 - 1, 52 - 1) = "1", OFFSET($A$1, 70 - 1, 53 - 1) = "1" ), 1, IF( AND( OFFSET($A$1, 70 - 1, 52 - 1) = "1", OFFSET($A$1, 70 - 1, 53 - 1) = "0" ), 2, IF( AND( OFFSET($A$1, 70 - 1, 52 - 1) = "0", OFFSET($A$1, 70 - 1, 53 - 1) = "1" ), 3, 4 ) ) )</f>
        <v>1</v>
      </c>
      <c r="BD70" s="7">
        <v>0.35294117647058826</v>
      </c>
      <c r="BE70" s="7" t="str">
        <f>"1"</f>
        <v>1</v>
      </c>
      <c r="BF70" t="str">
        <f ca="1">IF((OFFSET($A$1, 70 - 1, 56 - 1)) &gt;= (OFFSET($A$1, 101 - 1, 7 - 1)), "1","0")</f>
        <v>0</v>
      </c>
      <c r="BG70">
        <f ca="1" xml:space="preserve"> IF( AND( OFFSET($A$1, 70 - 1, 57 - 1) = "1", OFFSET($A$1, 70 - 1, 58 - 1) = "1" ), 1, IF( AND( OFFSET($A$1, 70 - 1, 57 - 1) = "1", OFFSET($A$1, 70 - 1, 58 - 1) = "0" ), 2, IF( AND( OFFSET($A$1, 70 - 1, 57 - 1) = "0", OFFSET($A$1, 70 - 1, 58 - 1) = "1" ), 3, 4 ) ) )</f>
        <v>2</v>
      </c>
    </row>
    <row r="71" spans="2:59" x14ac:dyDescent="0.25">
      <c r="C71" s="7">
        <v>19</v>
      </c>
      <c r="D71" s="7">
        <v>8.5</v>
      </c>
      <c r="E71" s="7">
        <v>9.5</v>
      </c>
      <c r="AY71" s="7">
        <v>0</v>
      </c>
      <c r="AZ71" s="7" t="str">
        <f>"0"</f>
        <v>0</v>
      </c>
      <c r="BA71" t="str">
        <f ca="1">IF((OFFSET($A$1, 71 - 1, 51 - 1)) &gt;= (OFFSET($A$1, 77 - 1, 7 - 1)), "1","0")</f>
        <v>0</v>
      </c>
      <c r="BB71">
        <f ca="1" xml:space="preserve"> IF( AND( OFFSET($A$1, 71 - 1, 52 - 1) = "1", OFFSET($A$1, 71 - 1, 53 - 1) = "1" ), 1, IF( AND( OFFSET($A$1, 71 - 1, 52 - 1) = "1", OFFSET($A$1, 71 - 1, 53 - 1) = "0" ), 2, IF( AND( OFFSET($A$1, 71 - 1, 52 - 1) = "0", OFFSET($A$1, 71 - 1, 53 - 1) = "1" ), 3, 4 ) ) )</f>
        <v>4</v>
      </c>
      <c r="BD71" s="7">
        <v>0.70588235294117652</v>
      </c>
      <c r="BE71" s="7" t="str">
        <f>"0"</f>
        <v>0</v>
      </c>
      <c r="BF71" t="str">
        <f ca="1">IF((OFFSET($A$1, 71 - 1, 56 - 1)) &gt;= (OFFSET($A$1, 101 - 1, 7 - 1)), "1","0")</f>
        <v>1</v>
      </c>
      <c r="BG71">
        <f ca="1" xml:space="preserve"> IF( AND( OFFSET($A$1, 71 - 1, 57 - 1) = "1", OFFSET($A$1, 71 - 1, 58 - 1) = "1" ), 1, IF( AND( OFFSET($A$1, 71 - 1, 57 - 1) = "1", OFFSET($A$1, 71 - 1, 58 - 1) = "0" ), 2, IF( AND( OFFSET($A$1, 71 - 1, 57 - 1) = "0", OFFSET($A$1, 71 - 1, 58 - 1) = "1" ), 3, 4 ) ) )</f>
        <v>3</v>
      </c>
    </row>
    <row r="72" spans="2:59" x14ac:dyDescent="0.25">
      <c r="C72" s="7">
        <v>20</v>
      </c>
      <c r="D72" s="7">
        <v>8.6666666666666679</v>
      </c>
      <c r="E72" s="7">
        <v>9.5</v>
      </c>
      <c r="AY72" s="7">
        <v>0</v>
      </c>
      <c r="AZ72" s="7" t="str">
        <f>"0"</f>
        <v>0</v>
      </c>
      <c r="BA72" t="str">
        <f ca="1">IF((OFFSET($A$1, 72 - 1, 51 - 1)) &gt;= (OFFSET($A$1, 77 - 1, 7 - 1)), "1","0")</f>
        <v>0</v>
      </c>
      <c r="BB72">
        <f ca="1" xml:space="preserve"> IF( AND( OFFSET($A$1, 72 - 1, 52 - 1) = "1", OFFSET($A$1, 72 - 1, 53 - 1) = "1" ), 1, IF( AND( OFFSET($A$1, 72 - 1, 52 - 1) = "1", OFFSET($A$1, 72 - 1, 53 - 1) = "0" ), 2, IF( AND( OFFSET($A$1, 72 - 1, 52 - 1) = "0", OFFSET($A$1, 72 - 1, 53 - 1) = "1" ), 3, 4 ) ) )</f>
        <v>4</v>
      </c>
      <c r="BD72" s="7">
        <v>0</v>
      </c>
      <c r="BE72" s="7" t="str">
        <f>"0"</f>
        <v>0</v>
      </c>
      <c r="BF72" t="str">
        <f ca="1">IF((OFFSET($A$1, 72 - 1, 56 - 1)) &gt;= (OFFSET($A$1, 101 - 1, 7 - 1)), "1","0")</f>
        <v>0</v>
      </c>
      <c r="BG72">
        <f ca="1" xml:space="preserve"> IF( AND( OFFSET($A$1, 72 - 1, 57 - 1) = "1", OFFSET($A$1, 72 - 1, 58 - 1) = "1" ), 1, IF( AND( OFFSET($A$1, 72 - 1, 57 - 1) = "1", OFFSET($A$1, 72 - 1, 58 - 1) = "0" ), 2, IF( AND( OFFSET($A$1, 72 - 1, 57 - 1) = "0", OFFSET($A$1, 72 - 1, 58 - 1) = "1" ), 3, 4 ) ) )</f>
        <v>4</v>
      </c>
    </row>
    <row r="73" spans="2:59" x14ac:dyDescent="0.25">
      <c r="AY73" s="7">
        <v>0.58823529411764708</v>
      </c>
      <c r="AZ73" s="7" t="str">
        <f>"1"</f>
        <v>1</v>
      </c>
      <c r="BA73" t="str">
        <f ca="1">IF((OFFSET($A$1, 73 - 1, 51 - 1)) &gt;= (OFFSET($A$1, 77 - 1, 7 - 1)), "1","0")</f>
        <v>1</v>
      </c>
      <c r="BB73">
        <f ca="1" xml:space="preserve"> IF( AND( OFFSET($A$1, 73 - 1, 52 - 1) = "1", OFFSET($A$1, 73 - 1, 53 - 1) = "1" ), 1, IF( AND( OFFSET($A$1, 73 - 1, 52 - 1) = "1", OFFSET($A$1, 73 - 1, 53 - 1) = "0" ), 2, IF( AND( OFFSET($A$1, 73 - 1, 52 - 1) = "0", OFFSET($A$1, 73 - 1, 53 - 1) = "1" ), 3, 4 ) ) )</f>
        <v>1</v>
      </c>
      <c r="BD73" s="7">
        <v>0</v>
      </c>
      <c r="BE73" s="7" t="str">
        <f>"0"</f>
        <v>0</v>
      </c>
      <c r="BF73" t="str">
        <f ca="1">IF((OFFSET($A$1, 73 - 1, 56 - 1)) &gt;= (OFFSET($A$1, 101 - 1, 7 - 1)), "1","0")</f>
        <v>0</v>
      </c>
      <c r="BG73">
        <f ca="1" xml:space="preserve"> IF( AND( OFFSET($A$1, 73 - 1, 57 - 1) = "1", OFFSET($A$1, 73 - 1, 58 - 1) = "1" ), 1, IF( AND( OFFSET($A$1, 73 - 1, 57 - 1) = "1", OFFSET($A$1, 73 - 1, 58 - 1) = "0" ), 2, IF( AND( OFFSET($A$1, 73 - 1, 57 - 1) = "0", OFFSET($A$1, 73 - 1, 58 - 1) = "1" ), 3, 4 ) ) )</f>
        <v>4</v>
      </c>
    </row>
    <row r="74" spans="2:59" x14ac:dyDescent="0.25">
      <c r="AY74" s="7">
        <v>0.17647058823529413</v>
      </c>
      <c r="AZ74" s="7" t="str">
        <f>"0"</f>
        <v>0</v>
      </c>
      <c r="BA74" t="str">
        <f ca="1">IF((OFFSET($A$1, 74 - 1, 51 - 1)) &gt;= (OFFSET($A$1, 77 - 1, 7 - 1)), "1","0")</f>
        <v>0</v>
      </c>
      <c r="BB74">
        <f ca="1" xml:space="preserve"> IF( AND( OFFSET($A$1, 74 - 1, 52 - 1) = "1", OFFSET($A$1, 74 - 1, 53 - 1) = "1" ), 1, IF( AND( OFFSET($A$1, 74 - 1, 52 - 1) = "1", OFFSET($A$1, 74 - 1, 53 - 1) = "0" ), 2, IF( AND( OFFSET($A$1, 74 - 1, 52 - 1) = "0", OFFSET($A$1, 74 - 1, 53 - 1) = "1" ), 3, 4 ) ) )</f>
        <v>4</v>
      </c>
      <c r="BD74" s="7">
        <v>0</v>
      </c>
      <c r="BE74" s="7" t="str">
        <f>"0"</f>
        <v>0</v>
      </c>
      <c r="BF74" t="str">
        <f ca="1">IF((OFFSET($A$1, 74 - 1, 56 - 1)) &gt;= (OFFSET($A$1, 101 - 1, 7 - 1)), "1","0")</f>
        <v>0</v>
      </c>
      <c r="BG74">
        <f ca="1" xml:space="preserve"> IF( AND( OFFSET($A$1, 74 - 1, 57 - 1) = "1", OFFSET($A$1, 74 - 1, 58 - 1) = "1" ), 1, IF( AND( OFFSET($A$1, 74 - 1, 57 - 1) = "1", OFFSET($A$1, 74 - 1, 58 - 1) = "0" ), 2, IF( AND( OFFSET($A$1, 74 - 1, 57 - 1) = "0", OFFSET($A$1, 74 - 1, 58 - 1) = "1" ), 3, 4 ) ) )</f>
        <v>4</v>
      </c>
    </row>
    <row r="75" spans="2:59" ht="18.75" x14ac:dyDescent="0.3">
      <c r="B75" s="25" t="s">
        <v>123</v>
      </c>
      <c r="AY75" s="7">
        <v>5.8823529411764705E-2</v>
      </c>
      <c r="AZ75" s="7" t="str">
        <f>"0"</f>
        <v>0</v>
      </c>
      <c r="BA75" t="str">
        <f ca="1">IF((OFFSET($A$1, 75 - 1, 51 - 1)) &gt;= (OFFSET($A$1, 77 - 1, 7 - 1)), "1","0")</f>
        <v>0</v>
      </c>
      <c r="BB75">
        <f ca="1" xml:space="preserve"> IF( AND( OFFSET($A$1, 75 - 1, 52 - 1) = "1", OFFSET($A$1, 75 - 1, 53 - 1) = "1" ), 1, IF( AND( OFFSET($A$1, 75 - 1, 52 - 1) = "1", OFFSET($A$1, 75 - 1, 53 - 1) = "0" ), 2, IF( AND( OFFSET($A$1, 75 - 1, 52 - 1) = "0", OFFSET($A$1, 75 - 1, 53 - 1) = "1" ), 3, 4 ) ) )</f>
        <v>4</v>
      </c>
      <c r="BD75" s="7">
        <v>5.8823529411764705E-2</v>
      </c>
      <c r="BE75" s="7" t="str">
        <f>"0"</f>
        <v>0</v>
      </c>
      <c r="BF75" t="str">
        <f ca="1">IF((OFFSET($A$1, 75 - 1, 56 - 1)) &gt;= (OFFSET($A$1, 101 - 1, 7 - 1)), "1","0")</f>
        <v>0</v>
      </c>
      <c r="BG75">
        <f ca="1" xml:space="preserve"> IF( AND( OFFSET($A$1, 75 - 1, 57 - 1) = "1", OFFSET($A$1, 75 - 1, 58 - 1) = "1" ), 1, IF( AND( OFFSET($A$1, 75 - 1, 57 - 1) = "1", OFFSET($A$1, 75 - 1, 58 - 1) = "0" ), 2, IF( AND( OFFSET($A$1, 75 - 1, 57 - 1) = "0", OFFSET($A$1, 75 - 1, 58 - 1) = "1" ), 3, 4 ) ) )</f>
        <v>4</v>
      </c>
    </row>
    <row r="76" spans="2:59" x14ac:dyDescent="0.25">
      <c r="AY76" s="7">
        <v>0.88235294117647056</v>
      </c>
      <c r="AZ76" s="7" t="str">
        <f>"1"</f>
        <v>1</v>
      </c>
      <c r="BA76" t="str">
        <f ca="1">IF((OFFSET($A$1, 76 - 1, 51 - 1)) &gt;= (OFFSET($A$1, 77 - 1, 7 - 1)), "1","0")</f>
        <v>1</v>
      </c>
      <c r="BB76">
        <f ca="1" xml:space="preserve"> IF( AND( OFFSET($A$1, 76 - 1, 52 - 1) = "1", OFFSET($A$1, 76 - 1, 53 - 1) = "1" ), 1, IF( AND( OFFSET($A$1, 76 - 1, 52 - 1) = "1", OFFSET($A$1, 76 - 1, 53 - 1) = "0" ), 2, IF( AND( OFFSET($A$1, 76 - 1, 52 - 1) = "0", OFFSET($A$1, 76 - 1, 53 - 1) = "1" ), 3, 4 ) ) )</f>
        <v>1</v>
      </c>
      <c r="BD76" s="7">
        <v>0.17647058823529413</v>
      </c>
      <c r="BE76" s="7" t="str">
        <f>"1"</f>
        <v>1</v>
      </c>
      <c r="BF76" t="str">
        <f ca="1">IF((OFFSET($A$1, 76 - 1, 56 - 1)) &gt;= (OFFSET($A$1, 101 - 1, 7 - 1)), "1","0")</f>
        <v>0</v>
      </c>
      <c r="BG76">
        <f ca="1" xml:space="preserve"> IF( AND( OFFSET($A$1, 76 - 1, 57 - 1) = "1", OFFSET($A$1, 76 - 1, 58 - 1) = "1" ), 1, IF( AND( OFFSET($A$1, 76 - 1, 57 - 1) = "1", OFFSET($A$1, 76 - 1, 58 - 1) = "0" ), 2, IF( AND( OFFSET($A$1, 76 - 1, 57 - 1) = "0", OFFSET($A$1, 76 - 1, 58 - 1) = "1" ), 3, 4 ) ) )</f>
        <v>2</v>
      </c>
    </row>
    <row r="77" spans="2:59" x14ac:dyDescent="0.25">
      <c r="C77" s="30" t="s">
        <v>124</v>
      </c>
      <c r="D77" s="31"/>
      <c r="E77" s="31"/>
      <c r="F77" s="32"/>
      <c r="G77" s="28">
        <v>0.5</v>
      </c>
      <c r="H77" s="30" t="s">
        <v>125</v>
      </c>
      <c r="I77" s="31"/>
      <c r="J77" s="31"/>
      <c r="K77" s="31"/>
      <c r="L77" s="31"/>
      <c r="M77" s="32"/>
      <c r="AY77" s="7">
        <v>0</v>
      </c>
      <c r="AZ77" s="7" t="str">
        <f>"0"</f>
        <v>0</v>
      </c>
      <c r="BA77" t="str">
        <f ca="1">IF((OFFSET($A$1, 77 - 1, 51 - 1)) &gt;= (OFFSET($A$1, 77 - 1, 7 - 1)), "1","0")</f>
        <v>0</v>
      </c>
      <c r="BB77">
        <f ca="1" xml:space="preserve"> IF( AND( OFFSET($A$1, 77 - 1, 52 - 1) = "1", OFFSET($A$1, 77 - 1, 53 - 1) = "1" ), 1, IF( AND( OFFSET($A$1, 77 - 1, 52 - 1) = "1", OFFSET($A$1, 77 - 1, 53 - 1) = "0" ), 2, IF( AND( OFFSET($A$1, 77 - 1, 52 - 1) = "0", OFFSET($A$1, 77 - 1, 53 - 1) = "1" ), 3, 4 ) ) )</f>
        <v>4</v>
      </c>
      <c r="BD77" s="7">
        <v>0</v>
      </c>
      <c r="BE77" s="7" t="str">
        <f>"0"</f>
        <v>0</v>
      </c>
      <c r="BF77" t="str">
        <f ca="1">IF((OFFSET($A$1, 77 - 1, 56 - 1)) &gt;= (OFFSET($A$1, 101 - 1, 7 - 1)), "1","0")</f>
        <v>0</v>
      </c>
      <c r="BG77">
        <f ca="1" xml:space="preserve"> IF( AND( OFFSET($A$1, 77 - 1, 57 - 1) = "1", OFFSET($A$1, 77 - 1, 58 - 1) = "1" ), 1, IF( AND( OFFSET($A$1, 77 - 1, 57 - 1) = "1", OFFSET($A$1, 77 - 1, 58 - 1) = "0" ), 2, IF( AND( OFFSET($A$1, 77 - 1, 57 - 1) = "0", OFFSET($A$1, 77 - 1, 58 - 1) = "1" ), 3, 4 ) ) )</f>
        <v>4</v>
      </c>
    </row>
    <row r="78" spans="2:59" x14ac:dyDescent="0.25">
      <c r="AY78" s="7">
        <v>0</v>
      </c>
      <c r="AZ78" s="7" t="str">
        <f>"0"</f>
        <v>0</v>
      </c>
      <c r="BA78" t="str">
        <f ca="1">IF((OFFSET($A$1, 78 - 1, 51 - 1)) &gt;= (OFFSET($A$1, 77 - 1, 7 - 1)), "1","0")</f>
        <v>0</v>
      </c>
      <c r="BB78">
        <f ca="1" xml:space="preserve"> IF( AND( OFFSET($A$1, 78 - 1, 52 - 1) = "1", OFFSET($A$1, 78 - 1, 53 - 1) = "1" ), 1, IF( AND( OFFSET($A$1, 78 - 1, 52 - 1) = "1", OFFSET($A$1, 78 - 1, 53 - 1) = "0" ), 2, IF( AND( OFFSET($A$1, 78 - 1, 52 - 1) = "0", OFFSET($A$1, 78 - 1, 53 - 1) = "1" ), 3, 4 ) ) )</f>
        <v>4</v>
      </c>
      <c r="BD78" s="7">
        <v>0</v>
      </c>
      <c r="BE78" s="7" t="str">
        <f>"0"</f>
        <v>0</v>
      </c>
      <c r="BF78" t="str">
        <f ca="1">IF((OFFSET($A$1, 78 - 1, 56 - 1)) &gt;= (OFFSET($A$1, 101 - 1, 7 - 1)), "1","0")</f>
        <v>0</v>
      </c>
      <c r="BG78">
        <f ca="1" xml:space="preserve"> IF( AND( OFFSET($A$1, 78 - 1, 57 - 1) = "1", OFFSET($A$1, 78 - 1, 58 - 1) = "1" ), 1, IF( AND( OFFSET($A$1, 78 - 1, 57 - 1) = "1", OFFSET($A$1, 78 - 1, 58 - 1) = "0" ), 2, IF( AND( OFFSET($A$1, 78 - 1, 57 - 1) = "0", OFFSET($A$1, 78 - 1, 58 - 1) = "1" ), 3, 4 ) ) )</f>
        <v>4</v>
      </c>
    </row>
    <row r="79" spans="2:59" x14ac:dyDescent="0.25">
      <c r="C79" s="11" t="s">
        <v>126</v>
      </c>
      <c r="D79" s="12"/>
      <c r="E79" s="13"/>
      <c r="AY79" s="7">
        <v>0</v>
      </c>
      <c r="AZ79" s="7" t="str">
        <f>"0"</f>
        <v>0</v>
      </c>
      <c r="BA79" t="str">
        <f ca="1">IF((OFFSET($A$1, 79 - 1, 51 - 1)) &gt;= (OFFSET($A$1, 77 - 1, 7 - 1)), "1","0")</f>
        <v>0</v>
      </c>
      <c r="BB79">
        <f ca="1" xml:space="preserve"> IF( AND( OFFSET($A$1, 79 - 1, 52 - 1) = "1", OFFSET($A$1, 79 - 1, 53 - 1) = "1" ), 1, IF( AND( OFFSET($A$1, 79 - 1, 52 - 1) = "1", OFFSET($A$1, 79 - 1, 53 - 1) = "0" ), 2, IF( AND( OFFSET($A$1, 79 - 1, 52 - 1) = "0", OFFSET($A$1, 79 - 1, 53 - 1) = "1" ), 3, 4 ) ) )</f>
        <v>4</v>
      </c>
      <c r="BD79" s="7">
        <v>0</v>
      </c>
      <c r="BE79" s="7" t="str">
        <f>"0"</f>
        <v>0</v>
      </c>
      <c r="BF79" t="str">
        <f ca="1">IF((OFFSET($A$1, 79 - 1, 56 - 1)) &gt;= (OFFSET($A$1, 101 - 1, 7 - 1)), "1","0")</f>
        <v>0</v>
      </c>
      <c r="BG79">
        <f ca="1" xml:space="preserve"> IF( AND( OFFSET($A$1, 79 - 1, 57 - 1) = "1", OFFSET($A$1, 79 - 1, 58 - 1) = "1" ), 1, IF( AND( OFFSET($A$1, 79 - 1, 57 - 1) = "1", OFFSET($A$1, 79 - 1, 58 - 1) = "0" ), 2, IF( AND( OFFSET($A$1, 79 - 1, 57 - 1) = "0", OFFSET($A$1, 79 - 1, 58 - 1) = "1" ), 3, 4 ) ) )</f>
        <v>4</v>
      </c>
    </row>
    <row r="80" spans="2:59" x14ac:dyDescent="0.25">
      <c r="C80" s="10"/>
      <c r="D80" s="33" t="s">
        <v>64</v>
      </c>
      <c r="E80" s="34"/>
      <c r="AY80" s="7">
        <v>0</v>
      </c>
      <c r="AZ80" s="7" t="str">
        <f>"0"</f>
        <v>0</v>
      </c>
      <c r="BA80" t="str">
        <f ca="1">IF((OFFSET($A$1, 80 - 1, 51 - 1)) &gt;= (OFFSET($A$1, 77 - 1, 7 - 1)), "1","0")</f>
        <v>0</v>
      </c>
      <c r="BB80">
        <f ca="1" xml:space="preserve"> IF( AND( OFFSET($A$1, 80 - 1, 52 - 1) = "1", OFFSET($A$1, 80 - 1, 53 - 1) = "1" ), 1, IF( AND( OFFSET($A$1, 80 - 1, 52 - 1) = "1", OFFSET($A$1, 80 - 1, 53 - 1) = "0" ), 2, IF( AND( OFFSET($A$1, 80 - 1, 52 - 1) = "0", OFFSET($A$1, 80 - 1, 53 - 1) = "1" ), 3, 4 ) ) )</f>
        <v>4</v>
      </c>
      <c r="BD80" s="7">
        <v>0</v>
      </c>
      <c r="BE80" s="7" t="str">
        <f>"0"</f>
        <v>0</v>
      </c>
      <c r="BF80" t="str">
        <f ca="1">IF((OFFSET($A$1, 80 - 1, 56 - 1)) &gt;= (OFFSET($A$1, 101 - 1, 7 - 1)), "1","0")</f>
        <v>0</v>
      </c>
      <c r="BG80">
        <f ca="1" xml:space="preserve"> IF( AND( OFFSET($A$1, 80 - 1, 57 - 1) = "1", OFFSET($A$1, 80 - 1, 58 - 1) = "1" ), 1, IF( AND( OFFSET($A$1, 80 - 1, 57 - 1) = "1", OFFSET($A$1, 80 - 1, 58 - 1) = "0" ), 2, IF( AND( OFFSET($A$1, 80 - 1, 57 - 1) = "0", OFFSET($A$1, 80 - 1, 58 - 1) = "1" ), 3, 4 ) ) )</f>
        <v>4</v>
      </c>
    </row>
    <row r="81" spans="3:59" x14ac:dyDescent="0.25">
      <c r="C81" s="9" t="s">
        <v>127</v>
      </c>
      <c r="D81" s="10">
        <v>1</v>
      </c>
      <c r="E81" s="10">
        <v>0</v>
      </c>
      <c r="AY81" s="7">
        <v>0</v>
      </c>
      <c r="AZ81" s="7" t="str">
        <f>"0"</f>
        <v>0</v>
      </c>
      <c r="BA81" t="str">
        <f ca="1">IF((OFFSET($A$1, 81 - 1, 51 - 1)) &gt;= (OFFSET($A$1, 77 - 1, 7 - 1)), "1","0")</f>
        <v>0</v>
      </c>
      <c r="BB81">
        <f ca="1" xml:space="preserve"> IF( AND( OFFSET($A$1, 81 - 1, 52 - 1) = "1", OFFSET($A$1, 81 - 1, 53 - 1) = "1" ), 1, IF( AND( OFFSET($A$1, 81 - 1, 52 - 1) = "1", OFFSET($A$1, 81 - 1, 53 - 1) = "0" ), 2, IF( AND( OFFSET($A$1, 81 - 1, 52 - 1) = "0", OFFSET($A$1, 81 - 1, 53 - 1) = "1" ), 3, 4 ) ) )</f>
        <v>4</v>
      </c>
      <c r="BD81" s="7">
        <v>0.47058823529411764</v>
      </c>
      <c r="BE81" s="7" t="str">
        <f>"0"</f>
        <v>0</v>
      </c>
      <c r="BF81" t="str">
        <f ca="1">IF((OFFSET($A$1, 81 - 1, 56 - 1)) &gt;= (OFFSET($A$1, 101 - 1, 7 - 1)), "1","0")</f>
        <v>0</v>
      </c>
      <c r="BG81">
        <f ca="1" xml:space="preserve"> IF( AND( OFFSET($A$1, 81 - 1, 57 - 1) = "1", OFFSET($A$1, 81 - 1, 58 - 1) = "1" ), 1, IF( AND( OFFSET($A$1, 81 - 1, 57 - 1) = "1", OFFSET($A$1, 81 - 1, 58 - 1) = "0" ), 2, IF( AND( OFFSET($A$1, 81 - 1, 57 - 1) = "0", OFFSET($A$1, 81 - 1, 58 - 1) = "1" ), 3, 4 ) ) )</f>
        <v>4</v>
      </c>
    </row>
    <row r="82" spans="3:59" x14ac:dyDescent="0.25">
      <c r="C82" s="9">
        <v>1</v>
      </c>
      <c r="D82" s="7">
        <f ca="1" xml:space="preserve"> COUNTIF( OFFSET($A$1, 1 - 1, 54 - 1, 601, 1), 1 )</f>
        <v>167</v>
      </c>
      <c r="E82" s="7">
        <f ca="1" xml:space="preserve"> COUNTIF( OFFSET($A$1, 1 - 1, 54 - 1, 601, 1), 2 )</f>
        <v>32</v>
      </c>
      <c r="AY82" s="7">
        <v>0</v>
      </c>
      <c r="AZ82" s="7" t="str">
        <f>"0"</f>
        <v>0</v>
      </c>
      <c r="BA82" t="str">
        <f ca="1">IF((OFFSET($A$1, 82 - 1, 51 - 1)) &gt;= (OFFSET($A$1, 77 - 1, 7 - 1)), "1","0")</f>
        <v>0</v>
      </c>
      <c r="BB82">
        <f ca="1" xml:space="preserve"> IF( AND( OFFSET($A$1, 82 - 1, 52 - 1) = "1", OFFSET($A$1, 82 - 1, 53 - 1) = "1" ), 1, IF( AND( OFFSET($A$1, 82 - 1, 52 - 1) = "1", OFFSET($A$1, 82 - 1, 53 - 1) = "0" ), 2, IF( AND( OFFSET($A$1, 82 - 1, 52 - 1) = "0", OFFSET($A$1, 82 - 1, 53 - 1) = "1" ), 3, 4 ) ) )</f>
        <v>4</v>
      </c>
      <c r="BD82" s="7">
        <v>1</v>
      </c>
      <c r="BE82" s="7" t="str">
        <f>"1"</f>
        <v>1</v>
      </c>
      <c r="BF82" t="str">
        <f ca="1">IF((OFFSET($A$1, 82 - 1, 56 - 1)) &gt;= (OFFSET($A$1, 101 - 1, 7 - 1)), "1","0")</f>
        <v>1</v>
      </c>
      <c r="BG82">
        <f ca="1" xml:space="preserve"> IF( AND( OFFSET($A$1, 82 - 1, 57 - 1) = "1", OFFSET($A$1, 82 - 1, 58 - 1) = "1" ), 1, IF( AND( OFFSET($A$1, 82 - 1, 57 - 1) = "1", OFFSET($A$1, 82 - 1, 58 - 1) = "0" ), 2, IF( AND( OFFSET($A$1, 82 - 1, 57 - 1) = "0", OFFSET($A$1, 82 - 1, 58 - 1) = "1" ), 3, 4 ) ) )</f>
        <v>1</v>
      </c>
    </row>
    <row r="83" spans="3:59" x14ac:dyDescent="0.25">
      <c r="C83" s="9">
        <v>0</v>
      </c>
      <c r="D83" s="7">
        <f ca="1" xml:space="preserve"> COUNTIF( OFFSET($A$1, 1 - 1, 54 - 1, 601, 1), 3 )</f>
        <v>18</v>
      </c>
      <c r="E83" s="7">
        <f ca="1" xml:space="preserve"> COUNTIF( OFFSET($A$1, 1 - 1, 54 - 1, 601, 1), 4 )</f>
        <v>383</v>
      </c>
      <c r="AY83" s="7">
        <v>0</v>
      </c>
      <c r="AZ83" s="7" t="str">
        <f>"0"</f>
        <v>0</v>
      </c>
      <c r="BA83" t="str">
        <f ca="1">IF((OFFSET($A$1, 83 - 1, 51 - 1)) &gt;= (OFFSET($A$1, 77 - 1, 7 - 1)), "1","0")</f>
        <v>0</v>
      </c>
      <c r="BB83">
        <f ca="1" xml:space="preserve"> IF( AND( OFFSET($A$1, 83 - 1, 52 - 1) = "1", OFFSET($A$1, 83 - 1, 53 - 1) = "1" ), 1, IF( AND( OFFSET($A$1, 83 - 1, 52 - 1) = "1", OFFSET($A$1, 83 - 1, 53 - 1) = "0" ), 2, IF( AND( OFFSET($A$1, 83 - 1, 52 - 1) = "0", OFFSET($A$1, 83 - 1, 53 - 1) = "1" ), 3, 4 ) ) )</f>
        <v>4</v>
      </c>
      <c r="BD83" s="7">
        <v>0.23529411764705882</v>
      </c>
      <c r="BE83" s="7" t="str">
        <f>"0"</f>
        <v>0</v>
      </c>
      <c r="BF83" t="str">
        <f ca="1">IF((OFFSET($A$1, 83 - 1, 56 - 1)) &gt;= (OFFSET($A$1, 101 - 1, 7 - 1)), "1","0")</f>
        <v>0</v>
      </c>
      <c r="BG83">
        <f ca="1" xml:space="preserve"> IF( AND( OFFSET($A$1, 83 - 1, 57 - 1) = "1", OFFSET($A$1, 83 - 1, 58 - 1) = "1" ), 1, IF( AND( OFFSET($A$1, 83 - 1, 57 - 1) = "1", OFFSET($A$1, 83 - 1, 58 - 1) = "0" ), 2, IF( AND( OFFSET($A$1, 83 - 1, 57 - 1) = "0", OFFSET($A$1, 83 - 1, 58 - 1) = "1" ), 3, 4 ) ) )</f>
        <v>4</v>
      </c>
    </row>
    <row r="84" spans="3:59" x14ac:dyDescent="0.25">
      <c r="AY84" s="7">
        <v>0</v>
      </c>
      <c r="AZ84" s="7" t="str">
        <f>"0"</f>
        <v>0</v>
      </c>
      <c r="BA84" t="str">
        <f ca="1">IF((OFFSET($A$1, 84 - 1, 51 - 1)) &gt;= (OFFSET($A$1, 77 - 1, 7 - 1)), "1","0")</f>
        <v>0</v>
      </c>
      <c r="BB84">
        <f ca="1" xml:space="preserve"> IF( AND( OFFSET($A$1, 84 - 1, 52 - 1) = "1", OFFSET($A$1, 84 - 1, 53 - 1) = "1" ), 1, IF( AND( OFFSET($A$1, 84 - 1, 52 - 1) = "1", OFFSET($A$1, 84 - 1, 53 - 1) = "0" ), 2, IF( AND( OFFSET($A$1, 84 - 1, 52 - 1) = "0", OFFSET($A$1, 84 - 1, 53 - 1) = "1" ), 3, 4 ) ) )</f>
        <v>4</v>
      </c>
      <c r="BD84" s="7">
        <v>0</v>
      </c>
      <c r="BE84" s="7" t="str">
        <f>"0"</f>
        <v>0</v>
      </c>
      <c r="BF84" t="str">
        <f ca="1">IF((OFFSET($A$1, 84 - 1, 56 - 1)) &gt;= (OFFSET($A$1, 101 - 1, 7 - 1)), "1","0")</f>
        <v>0</v>
      </c>
      <c r="BG84">
        <f ca="1" xml:space="preserve"> IF( AND( OFFSET($A$1, 84 - 1, 57 - 1) = "1", OFFSET($A$1, 84 - 1, 58 - 1) = "1" ), 1, IF( AND( OFFSET($A$1, 84 - 1, 57 - 1) = "1", OFFSET($A$1, 84 - 1, 58 - 1) = "0" ), 2, IF( AND( OFFSET($A$1, 84 - 1, 57 - 1) = "0", OFFSET($A$1, 84 - 1, 58 - 1) = "1" ), 3, 4 ) ) )</f>
        <v>4</v>
      </c>
    </row>
    <row r="85" spans="3:59" x14ac:dyDescent="0.25">
      <c r="C85" s="11" t="s">
        <v>128</v>
      </c>
      <c r="D85" s="12"/>
      <c r="E85" s="12"/>
      <c r="F85" s="13"/>
      <c r="AY85" s="7">
        <v>1</v>
      </c>
      <c r="AZ85" s="7" t="str">
        <f>"1"</f>
        <v>1</v>
      </c>
      <c r="BA85" t="str">
        <f ca="1">IF((OFFSET($A$1, 85 - 1, 51 - 1)) &gt;= (OFFSET($A$1, 77 - 1, 7 - 1)), "1","0")</f>
        <v>1</v>
      </c>
      <c r="BB85">
        <f ca="1" xml:space="preserve"> IF( AND( OFFSET($A$1, 85 - 1, 52 - 1) = "1", OFFSET($A$1, 85 - 1, 53 - 1) = "1" ), 1, IF( AND( OFFSET($A$1, 85 - 1, 52 - 1) = "1", OFFSET($A$1, 85 - 1, 53 - 1) = "0" ), 2, IF( AND( OFFSET($A$1, 85 - 1, 52 - 1) = "0", OFFSET($A$1, 85 - 1, 53 - 1) = "1" ), 3, 4 ) ) )</f>
        <v>1</v>
      </c>
      <c r="BD85" s="7">
        <v>0.17647058823529413</v>
      </c>
      <c r="BE85" s="7" t="str">
        <f>"0"</f>
        <v>0</v>
      </c>
      <c r="BF85" t="str">
        <f ca="1">IF((OFFSET($A$1, 85 - 1, 56 - 1)) &gt;= (OFFSET($A$1, 101 - 1, 7 - 1)), "1","0")</f>
        <v>0</v>
      </c>
      <c r="BG85">
        <f ca="1" xml:space="preserve"> IF( AND( OFFSET($A$1, 85 - 1, 57 - 1) = "1", OFFSET($A$1, 85 - 1, 58 - 1) = "1" ), 1, IF( AND( OFFSET($A$1, 85 - 1, 57 - 1) = "1", OFFSET($A$1, 85 - 1, 58 - 1) = "0" ), 2, IF( AND( OFFSET($A$1, 85 - 1, 57 - 1) = "0", OFFSET($A$1, 85 - 1, 58 - 1) = "1" ), 3, 4 ) ) )</f>
        <v>4</v>
      </c>
    </row>
    <row r="86" spans="3:59" x14ac:dyDescent="0.25">
      <c r="C86" s="10" t="s">
        <v>35</v>
      </c>
      <c r="D86" s="10" t="s">
        <v>129</v>
      </c>
      <c r="E86" s="10" t="s">
        <v>130</v>
      </c>
      <c r="F86" s="10" t="s">
        <v>131</v>
      </c>
      <c r="AY86" s="7">
        <v>0.41176470588235292</v>
      </c>
      <c r="AZ86" s="7" t="str">
        <f>"1"</f>
        <v>1</v>
      </c>
      <c r="BA86" t="str">
        <f ca="1">IF((OFFSET($A$1, 86 - 1, 51 - 1)) &gt;= (OFFSET($A$1, 77 - 1, 7 - 1)), "1","0")</f>
        <v>0</v>
      </c>
      <c r="BB86">
        <f ca="1" xml:space="preserve"> IF( AND( OFFSET($A$1, 86 - 1, 52 - 1) = "1", OFFSET($A$1, 86 - 1, 53 - 1) = "1" ), 1, IF( AND( OFFSET($A$1, 86 - 1, 52 - 1) = "1", OFFSET($A$1, 86 - 1, 53 - 1) = "0" ), 2, IF( AND( OFFSET($A$1, 86 - 1, 52 - 1) = "0", OFFSET($A$1, 86 - 1, 53 - 1) = "1" ), 3, 4 ) ) )</f>
        <v>2</v>
      </c>
      <c r="BD86" s="7">
        <v>0.35294117647058826</v>
      </c>
      <c r="BE86" s="7" t="str">
        <f>"1"</f>
        <v>1</v>
      </c>
      <c r="BF86" t="str">
        <f ca="1">IF((OFFSET($A$1, 86 - 1, 56 - 1)) &gt;= (OFFSET($A$1, 101 - 1, 7 - 1)), "1","0")</f>
        <v>0</v>
      </c>
      <c r="BG86">
        <f ca="1" xml:space="preserve"> IF( AND( OFFSET($A$1, 86 - 1, 57 - 1) = "1", OFFSET($A$1, 86 - 1, 58 - 1) = "1" ), 1, IF( AND( OFFSET($A$1, 86 - 1, 57 - 1) = "1", OFFSET($A$1, 86 - 1, 58 - 1) = "0" ), 2, IF( AND( OFFSET($A$1, 86 - 1, 57 - 1) = "0", OFFSET($A$1, 86 - 1, 58 - 1) = "1" ), 3, 4 ) ) )</f>
        <v>2</v>
      </c>
    </row>
    <row r="87" spans="3:59" x14ac:dyDescent="0.25">
      <c r="C87" s="9">
        <v>1</v>
      </c>
      <c r="D87" s="7">
        <f ca="1">SUM(OFFSET($A$1, 82 - 1, 4 - 1, 1, 2))</f>
        <v>199</v>
      </c>
      <c r="E87" s="7">
        <f ca="1">SUM(OFFSET($A$1, 82 - 1, 4 - 1, 1, 2)) - OFFSET($A$1, 82 - 1, 4 - 1)</f>
        <v>32</v>
      </c>
      <c r="F87" s="7">
        <f ca="1">IF(OFFSET($A$1, 87 - 1, 4 - 1)=0,"Undefined",((OFFSET($A$1, 87 - 1, 5 - 1))*100) / (OFFSET($A$1, 87 - 1, 4 - 1)))</f>
        <v>16.08040201005025</v>
      </c>
      <c r="AY87" s="7">
        <v>0</v>
      </c>
      <c r="AZ87" s="7" t="str">
        <f>"0"</f>
        <v>0</v>
      </c>
      <c r="BA87" t="str">
        <f ca="1">IF((OFFSET($A$1, 87 - 1, 51 - 1)) &gt;= (OFFSET($A$1, 77 - 1, 7 - 1)), "1","0")</f>
        <v>0</v>
      </c>
      <c r="BB87">
        <f ca="1" xml:space="preserve"> IF( AND( OFFSET($A$1, 87 - 1, 52 - 1) = "1", OFFSET($A$1, 87 - 1, 53 - 1) = "1" ), 1, IF( AND( OFFSET($A$1, 87 - 1, 52 - 1) = "1", OFFSET($A$1, 87 - 1, 53 - 1) = "0" ), 2, IF( AND( OFFSET($A$1, 87 - 1, 52 - 1) = "0", OFFSET($A$1, 87 - 1, 53 - 1) = "1" ), 3, 4 ) ) )</f>
        <v>4</v>
      </c>
      <c r="BD87" s="7">
        <v>0.82352941176470584</v>
      </c>
      <c r="BE87" s="7" t="str">
        <f>"1"</f>
        <v>1</v>
      </c>
      <c r="BF87" t="str">
        <f ca="1">IF((OFFSET($A$1, 87 - 1, 56 - 1)) &gt;= (OFFSET($A$1, 101 - 1, 7 - 1)), "1","0")</f>
        <v>1</v>
      </c>
      <c r="BG87">
        <f ca="1" xml:space="preserve"> IF( AND( OFFSET($A$1, 87 - 1, 57 - 1) = "1", OFFSET($A$1, 87 - 1, 58 - 1) = "1" ), 1, IF( AND( OFFSET($A$1, 87 - 1, 57 - 1) = "1", OFFSET($A$1, 87 - 1, 58 - 1) = "0" ), 2, IF( AND( OFFSET($A$1, 87 - 1, 57 - 1) = "0", OFFSET($A$1, 87 - 1, 58 - 1) = "1" ), 3, 4 ) ) )</f>
        <v>1</v>
      </c>
    </row>
    <row r="88" spans="3:59" x14ac:dyDescent="0.25">
      <c r="C88" s="9">
        <v>0</v>
      </c>
      <c r="D88" s="7">
        <f ca="1">SUM(OFFSET($A$1, 83 - 1, 4 - 1, 1, 2))</f>
        <v>401</v>
      </c>
      <c r="E88" s="7">
        <f ca="1">SUM(OFFSET($A$1, 83 - 1, 4 - 1, 1, 2)) - OFFSET($A$1, 83 - 1, 5 - 1)</f>
        <v>18</v>
      </c>
      <c r="F88" s="7">
        <f ca="1">IF(OFFSET($A$1, 88 - 1, 4 - 1)=0,"Undefined",((OFFSET($A$1, 88 - 1, 5 - 1))*100) / (OFFSET($A$1, 88 - 1, 4 - 1)))</f>
        <v>4.4887780548628431</v>
      </c>
      <c r="AY88" s="7">
        <v>0</v>
      </c>
      <c r="AZ88" s="7" t="str">
        <f>"0"</f>
        <v>0</v>
      </c>
      <c r="BA88" t="str">
        <f ca="1">IF((OFFSET($A$1, 88 - 1, 51 - 1)) &gt;= (OFFSET($A$1, 77 - 1, 7 - 1)), "1","0")</f>
        <v>0</v>
      </c>
      <c r="BB88">
        <f ca="1" xml:space="preserve"> IF( AND( OFFSET($A$1, 88 - 1, 52 - 1) = "1", OFFSET($A$1, 88 - 1, 53 - 1) = "1" ), 1, IF( AND( OFFSET($A$1, 88 - 1, 52 - 1) = "1", OFFSET($A$1, 88 - 1, 53 - 1) = "0" ), 2, IF( AND( OFFSET($A$1, 88 - 1, 52 - 1) = "0", OFFSET($A$1, 88 - 1, 53 - 1) = "1" ), 3, 4 ) ) )</f>
        <v>4</v>
      </c>
      <c r="BD88" s="7">
        <v>0</v>
      </c>
      <c r="BE88" s="7" t="str">
        <f>"0"</f>
        <v>0</v>
      </c>
      <c r="BF88" t="str">
        <f ca="1">IF((OFFSET($A$1, 88 - 1, 56 - 1)) &gt;= (OFFSET($A$1, 101 - 1, 7 - 1)), "1","0")</f>
        <v>0</v>
      </c>
      <c r="BG88">
        <f ca="1" xml:space="preserve"> IF( AND( OFFSET($A$1, 88 - 1, 57 - 1) = "1", OFFSET($A$1, 88 - 1, 58 - 1) = "1" ), 1, IF( AND( OFFSET($A$1, 88 - 1, 57 - 1) = "1", OFFSET($A$1, 88 - 1, 58 - 1) = "0" ), 2, IF( AND( OFFSET($A$1, 88 - 1, 57 - 1) = "0", OFFSET($A$1, 88 - 1, 58 - 1) = "1" ), 3, 4 ) ) )</f>
        <v>4</v>
      </c>
    </row>
    <row r="89" spans="3:59" x14ac:dyDescent="0.25">
      <c r="C89" s="9" t="s">
        <v>132</v>
      </c>
      <c r="D89" s="7">
        <f ca="1">SUM(OFFSET($A$1, 87 - 1, 4 - 1, 2, 1))</f>
        <v>600</v>
      </c>
      <c r="E89" s="7">
        <f ca="1">SUM(OFFSET($A$1, 87 - 1, 5 - 1, 2, 1))</f>
        <v>50</v>
      </c>
      <c r="F89" s="7">
        <f ca="1">IF(OFFSET($A$1, 89 - 1, 4 - 1)=0,"Undefined",((OFFSET($A$1, 89 - 1, 5 - 1))*100) / (OFFSET($A$1, 89 - 1, 4 - 1)))</f>
        <v>8.3333333333333339</v>
      </c>
      <c r="AY89" s="7">
        <v>0.47058823529411764</v>
      </c>
      <c r="AZ89" s="7" t="str">
        <f>"0"</f>
        <v>0</v>
      </c>
      <c r="BA89" t="str">
        <f ca="1">IF((OFFSET($A$1, 89 - 1, 51 - 1)) &gt;= (OFFSET($A$1, 77 - 1, 7 - 1)), "1","0")</f>
        <v>0</v>
      </c>
      <c r="BB89">
        <f ca="1" xml:space="preserve"> IF( AND( OFFSET($A$1, 89 - 1, 52 - 1) = "1", OFFSET($A$1, 89 - 1, 53 - 1) = "1" ), 1, IF( AND( OFFSET($A$1, 89 - 1, 52 - 1) = "1", OFFSET($A$1, 89 - 1, 53 - 1) = "0" ), 2, IF( AND( OFFSET($A$1, 89 - 1, 52 - 1) = "0", OFFSET($A$1, 89 - 1, 53 - 1) = "1" ), 3, 4 ) ) )</f>
        <v>4</v>
      </c>
      <c r="BD89" s="7">
        <v>0</v>
      </c>
      <c r="BE89" s="7" t="str">
        <f>"0"</f>
        <v>0</v>
      </c>
      <c r="BF89" t="str">
        <f ca="1">IF((OFFSET($A$1, 89 - 1, 56 - 1)) &gt;= (OFFSET($A$1, 101 - 1, 7 - 1)), "1","0")</f>
        <v>0</v>
      </c>
      <c r="BG89">
        <f ca="1" xml:space="preserve"> IF( AND( OFFSET($A$1, 89 - 1, 57 - 1) = "1", OFFSET($A$1, 89 - 1, 58 - 1) = "1" ), 1, IF( AND( OFFSET($A$1, 89 - 1, 57 - 1) = "1", OFFSET($A$1, 89 - 1, 58 - 1) = "0" ), 2, IF( AND( OFFSET($A$1, 89 - 1, 57 - 1) = "0", OFFSET($A$1, 89 - 1, 58 - 1) = "1" ), 3, 4 ) ) )</f>
        <v>4</v>
      </c>
    </row>
    <row r="90" spans="3:59" x14ac:dyDescent="0.25">
      <c r="AY90" s="7">
        <v>0</v>
      </c>
      <c r="AZ90" s="7" t="str">
        <f>"0"</f>
        <v>0</v>
      </c>
      <c r="BA90" t="str">
        <f ca="1">IF((OFFSET($A$1, 90 - 1, 51 - 1)) &gt;= (OFFSET($A$1, 77 - 1, 7 - 1)), "1","0")</f>
        <v>0</v>
      </c>
      <c r="BB90">
        <f ca="1" xml:space="preserve"> IF( AND( OFFSET($A$1, 90 - 1, 52 - 1) = "1", OFFSET($A$1, 90 - 1, 53 - 1) = "1" ), 1, IF( AND( OFFSET($A$1, 90 - 1, 52 - 1) = "1", OFFSET($A$1, 90 - 1, 53 - 1) = "0" ), 2, IF( AND( OFFSET($A$1, 90 - 1, 52 - 1) = "0", OFFSET($A$1, 90 - 1, 53 - 1) = "1" ), 3, 4 ) ) )</f>
        <v>4</v>
      </c>
      <c r="BD90" s="7">
        <v>0</v>
      </c>
      <c r="BE90" s="7" t="str">
        <f>"0"</f>
        <v>0</v>
      </c>
      <c r="BF90" t="str">
        <f ca="1">IF((OFFSET($A$1, 90 - 1, 56 - 1)) &gt;= (OFFSET($A$1, 101 - 1, 7 - 1)), "1","0")</f>
        <v>0</v>
      </c>
      <c r="BG90">
        <f ca="1" xml:space="preserve"> IF( AND( OFFSET($A$1, 90 - 1, 57 - 1) = "1", OFFSET($A$1, 90 - 1, 58 - 1) = "1" ), 1, IF( AND( OFFSET($A$1, 90 - 1, 57 - 1) = "1", OFFSET($A$1, 90 - 1, 58 - 1) = "0" ), 2, IF( AND( OFFSET($A$1, 90 - 1, 57 - 1) = "0", OFFSET($A$1, 90 - 1, 58 - 1) = "1" ), 3, 4 ) ) )</f>
        <v>4</v>
      </c>
    </row>
    <row r="91" spans="3:59" x14ac:dyDescent="0.25">
      <c r="C91" s="11" t="s">
        <v>133</v>
      </c>
      <c r="D91" s="12"/>
      <c r="E91" s="13"/>
      <c r="AY91" s="7">
        <v>0</v>
      </c>
      <c r="AZ91" s="7" t="str">
        <f>"0"</f>
        <v>0</v>
      </c>
      <c r="BA91" t="str">
        <f ca="1">IF((OFFSET($A$1, 91 - 1, 51 - 1)) &gt;= (OFFSET($A$1, 77 - 1, 7 - 1)), "1","0")</f>
        <v>0</v>
      </c>
      <c r="BB91">
        <f ca="1" xml:space="preserve"> IF( AND( OFFSET($A$1, 91 - 1, 52 - 1) = "1", OFFSET($A$1, 91 - 1, 53 - 1) = "1" ), 1, IF( AND( OFFSET($A$1, 91 - 1, 52 - 1) = "1", OFFSET($A$1, 91 - 1, 53 - 1) = "0" ), 2, IF( AND( OFFSET($A$1, 91 - 1, 52 - 1) = "0", OFFSET($A$1, 91 - 1, 53 - 1) = "1" ), 3, 4 ) ) )</f>
        <v>4</v>
      </c>
      <c r="BD91" s="7">
        <v>0</v>
      </c>
      <c r="BE91" s="7" t="str">
        <f>"0"</f>
        <v>0</v>
      </c>
      <c r="BF91" t="str">
        <f ca="1">IF((OFFSET($A$1, 91 - 1, 56 - 1)) &gt;= (OFFSET($A$1, 101 - 1, 7 - 1)), "1","0")</f>
        <v>0</v>
      </c>
      <c r="BG91">
        <f ca="1" xml:space="preserve"> IF( AND( OFFSET($A$1, 91 - 1, 57 - 1) = "1", OFFSET($A$1, 91 - 1, 58 - 1) = "1" ), 1, IF( AND( OFFSET($A$1, 91 - 1, 57 - 1) = "1", OFFSET($A$1, 91 - 1, 58 - 1) = "0" ), 2, IF( AND( OFFSET($A$1, 91 - 1, 57 - 1) = "0", OFFSET($A$1, 91 - 1, 58 - 1) = "1" ), 3, 4 ) ) )</f>
        <v>4</v>
      </c>
    </row>
    <row r="92" spans="3:59" x14ac:dyDescent="0.25">
      <c r="C92" s="14" t="s">
        <v>49</v>
      </c>
      <c r="D92" s="16"/>
      <c r="E92" s="26">
        <v>1</v>
      </c>
      <c r="AY92" s="7">
        <v>0</v>
      </c>
      <c r="AZ92" s="7" t="str">
        <f>"0"</f>
        <v>0</v>
      </c>
      <c r="BA92" t="str">
        <f ca="1">IF((OFFSET($A$1, 92 - 1, 51 - 1)) &gt;= (OFFSET($A$1, 77 - 1, 7 - 1)), "1","0")</f>
        <v>0</v>
      </c>
      <c r="BB92">
        <f ca="1" xml:space="preserve"> IF( AND( OFFSET($A$1, 92 - 1, 52 - 1) = "1", OFFSET($A$1, 92 - 1, 53 - 1) = "1" ), 1, IF( AND( OFFSET($A$1, 92 - 1, 52 - 1) = "1", OFFSET($A$1, 92 - 1, 53 - 1) = "0" ), 2, IF( AND( OFFSET($A$1, 92 - 1, 52 - 1) = "0", OFFSET($A$1, 92 - 1, 53 - 1) = "1" ), 3, 4 ) ) )</f>
        <v>4</v>
      </c>
      <c r="BD92" s="7">
        <v>0.82352941176470584</v>
      </c>
      <c r="BE92" s="7" t="str">
        <f>"1"</f>
        <v>1</v>
      </c>
      <c r="BF92" t="str">
        <f ca="1">IF((OFFSET($A$1, 92 - 1, 56 - 1)) &gt;= (OFFSET($A$1, 101 - 1, 7 - 1)), "1","0")</f>
        <v>1</v>
      </c>
      <c r="BG92">
        <f ca="1" xml:space="preserve"> IF( AND( OFFSET($A$1, 92 - 1, 57 - 1) = "1", OFFSET($A$1, 92 - 1, 58 - 1) = "1" ), 1, IF( AND( OFFSET($A$1, 92 - 1, 57 - 1) = "1", OFFSET($A$1, 92 - 1, 58 - 1) = "0" ), 2, IF( AND( OFFSET($A$1, 92 - 1, 57 - 1) = "0", OFFSET($A$1, 92 - 1, 58 - 1) = "1" ), 3, 4 ) ) )</f>
        <v>1</v>
      </c>
    </row>
    <row r="93" spans="3:59" x14ac:dyDescent="0.25">
      <c r="C93" s="14" t="s">
        <v>134</v>
      </c>
      <c r="D93" s="16"/>
      <c r="E93" s="26">
        <f ca="1">IF((OFFSET($A$1, 82 - 1, 4 - 1) + OFFSET($A$1, 83 - 1, 4 - 1)) = 0,"Undefined",OFFSET($A$1, 82 - 1, 4 - 1)/(OFFSET($A$1, 82 - 1, 4 - 1) + OFFSET($A$1, 83 - 1, 4 - 1)))</f>
        <v>0.9027027027027027</v>
      </c>
      <c r="AY93" s="7">
        <v>0</v>
      </c>
      <c r="AZ93" s="7" t="str">
        <f>"0"</f>
        <v>0</v>
      </c>
      <c r="BA93" t="str">
        <f ca="1">IF((OFFSET($A$1, 93 - 1, 51 - 1)) &gt;= (OFFSET($A$1, 77 - 1, 7 - 1)), "1","0")</f>
        <v>0</v>
      </c>
      <c r="BB93">
        <f ca="1" xml:space="preserve"> IF( AND( OFFSET($A$1, 93 - 1, 52 - 1) = "1", OFFSET($A$1, 93 - 1, 53 - 1) = "1" ), 1, IF( AND( OFFSET($A$1, 93 - 1, 52 - 1) = "1", OFFSET($A$1, 93 - 1, 53 - 1) = "0" ), 2, IF( AND( OFFSET($A$1, 93 - 1, 52 - 1) = "0", OFFSET($A$1, 93 - 1, 53 - 1) = "1" ), 3, 4 ) ) )</f>
        <v>4</v>
      </c>
      <c r="BD93" s="7">
        <v>0.29411764705882354</v>
      </c>
      <c r="BE93" s="7" t="str">
        <f>"1"</f>
        <v>1</v>
      </c>
      <c r="BF93" t="str">
        <f ca="1">IF((OFFSET($A$1, 93 - 1, 56 - 1)) &gt;= (OFFSET($A$1, 101 - 1, 7 - 1)), "1","0")</f>
        <v>0</v>
      </c>
      <c r="BG93">
        <f ca="1" xml:space="preserve"> IF( AND( OFFSET($A$1, 93 - 1, 57 - 1) = "1", OFFSET($A$1, 93 - 1, 58 - 1) = "1" ), 1, IF( AND( OFFSET($A$1, 93 - 1, 57 - 1) = "1", OFFSET($A$1, 93 - 1, 58 - 1) = "0" ), 2, IF( AND( OFFSET($A$1, 93 - 1, 57 - 1) = "0", OFFSET($A$1, 93 - 1, 58 - 1) = "1" ), 3, 4 ) ) )</f>
        <v>2</v>
      </c>
    </row>
    <row r="94" spans="3:59" x14ac:dyDescent="0.25">
      <c r="C94" s="14" t="s">
        <v>135</v>
      </c>
      <c r="D94" s="16"/>
      <c r="E94" s="26">
        <f ca="1">IF((OFFSET($A$1, 82 - 1, 4 - 1) + OFFSET($A$1, 82 - 1, 5 - 1)) = 0,"Undefined",OFFSET($A$1, 82 - 1, 4 - 1)/(OFFSET($A$1, 82 - 1, 4 - 1) + OFFSET($A$1, 82 - 1, 5 - 1)))</f>
        <v>0.83919597989949746</v>
      </c>
      <c r="AY94" s="7">
        <v>0.82352941176470584</v>
      </c>
      <c r="AZ94" s="7" t="str">
        <f>"1"</f>
        <v>1</v>
      </c>
      <c r="BA94" t="str">
        <f ca="1">IF((OFFSET($A$1, 94 - 1, 51 - 1)) &gt;= (OFFSET($A$1, 77 - 1, 7 - 1)), "1","0")</f>
        <v>1</v>
      </c>
      <c r="BB94">
        <f ca="1" xml:space="preserve"> IF( AND( OFFSET($A$1, 94 - 1, 52 - 1) = "1", OFFSET($A$1, 94 - 1, 53 - 1) = "1" ), 1, IF( AND( OFFSET($A$1, 94 - 1, 52 - 1) = "1", OFFSET($A$1, 94 - 1, 53 - 1) = "0" ), 2, IF( AND( OFFSET($A$1, 94 - 1, 52 - 1) = "0", OFFSET($A$1, 94 - 1, 53 - 1) = "1" ), 3, 4 ) ) )</f>
        <v>1</v>
      </c>
      <c r="BD94" s="7">
        <v>0</v>
      </c>
      <c r="BE94" s="7" t="str">
        <f>"0"</f>
        <v>0</v>
      </c>
      <c r="BF94" t="str">
        <f ca="1">IF((OFFSET($A$1, 94 - 1, 56 - 1)) &gt;= (OFFSET($A$1, 101 - 1, 7 - 1)), "1","0")</f>
        <v>0</v>
      </c>
      <c r="BG94">
        <f ca="1" xml:space="preserve"> IF( AND( OFFSET($A$1, 94 - 1, 57 - 1) = "1", OFFSET($A$1, 94 - 1, 58 - 1) = "1" ), 1, IF( AND( OFFSET($A$1, 94 - 1, 57 - 1) = "1", OFFSET($A$1, 94 - 1, 58 - 1) = "0" ), 2, IF( AND( OFFSET($A$1, 94 - 1, 57 - 1) = "0", OFFSET($A$1, 94 - 1, 58 - 1) = "1" ), 3, 4 ) ) )</f>
        <v>4</v>
      </c>
    </row>
    <row r="95" spans="3:59" x14ac:dyDescent="0.25">
      <c r="C95" s="14" t="s">
        <v>136</v>
      </c>
      <c r="D95" s="16"/>
      <c r="E95" s="26">
        <f ca="1">IF((OFFSET($A$1, 83 - 1, 4 - 1) + OFFSET($A$1, 83 - 1, 5 - 1)) = 0,"Undefined",OFFSET($A$1, 83 - 1, 5 - 1)/(OFFSET($A$1, 83 - 1, 4 - 1) + OFFSET($A$1, 83 - 1, 5 - 1)))</f>
        <v>0.95511221945137159</v>
      </c>
      <c r="AY95" s="7">
        <v>0.41176470588235292</v>
      </c>
      <c r="AZ95" s="7" t="str">
        <f>"0"</f>
        <v>0</v>
      </c>
      <c r="BA95" t="str">
        <f ca="1">IF((OFFSET($A$1, 95 - 1, 51 - 1)) &gt;= (OFFSET($A$1, 77 - 1, 7 - 1)), "1","0")</f>
        <v>0</v>
      </c>
      <c r="BB95">
        <f ca="1" xml:space="preserve"> IF( AND( OFFSET($A$1, 95 - 1, 52 - 1) = "1", OFFSET($A$1, 95 - 1, 53 - 1) = "1" ), 1, IF( AND( OFFSET($A$1, 95 - 1, 52 - 1) = "1", OFFSET($A$1, 95 - 1, 53 - 1) = "0" ), 2, IF( AND( OFFSET($A$1, 95 - 1, 52 - 1) = "0", OFFSET($A$1, 95 - 1, 53 - 1) = "1" ), 3, 4 ) ) )</f>
        <v>4</v>
      </c>
      <c r="BD95" s="7">
        <v>5.8823529411764705E-2</v>
      </c>
      <c r="BE95" s="7" t="str">
        <f>"0"</f>
        <v>0</v>
      </c>
      <c r="BF95" t="str">
        <f ca="1">IF((OFFSET($A$1, 95 - 1, 56 - 1)) &gt;= (OFFSET($A$1, 101 - 1, 7 - 1)), "1","0")</f>
        <v>0</v>
      </c>
      <c r="BG95">
        <f ca="1" xml:space="preserve"> IF( AND( OFFSET($A$1, 95 - 1, 57 - 1) = "1", OFFSET($A$1, 95 - 1, 58 - 1) = "1" ), 1, IF( AND( OFFSET($A$1, 95 - 1, 57 - 1) = "1", OFFSET($A$1, 95 - 1, 58 - 1) = "0" ), 2, IF( AND( OFFSET($A$1, 95 - 1, 57 - 1) = "0", OFFSET($A$1, 95 - 1, 58 - 1) = "1" ), 3, 4 ) ) )</f>
        <v>4</v>
      </c>
    </row>
    <row r="96" spans="3:59" x14ac:dyDescent="0.25">
      <c r="C96" s="14" t="s">
        <v>137</v>
      </c>
      <c r="D96" s="16"/>
      <c r="E96" s="26">
        <f ca="1">IF(OR(OFFSET($A$1, 93 - 1, 5 - 1)="Undefined",OFFSET($A$1, 94 - 1, 5 - 1)="Undefined"),"Undefined",IF((OFFSET($A$1, 93 - 1, 5 - 1) + OFFSET($A$1, 94 - 1, 5 - 1))=0,"Undefined",2*OFFSET($A$1, 93 - 1, 5 - 1)*OFFSET($A$1, 94 - 1, 5 - 1)/(OFFSET($A$1, 93 - 1, 5 - 1)+OFFSET($A$1, 94 - 1, 5 - 1))))</f>
        <v>0.86979166666666674</v>
      </c>
      <c r="AY96" s="7">
        <v>0.88235294117647056</v>
      </c>
      <c r="AZ96" s="7" t="str">
        <f>"1"</f>
        <v>1</v>
      </c>
      <c r="BA96" t="str">
        <f ca="1">IF((OFFSET($A$1, 96 - 1, 51 - 1)) &gt;= (OFFSET($A$1, 77 - 1, 7 - 1)), "1","0")</f>
        <v>1</v>
      </c>
      <c r="BB96">
        <f ca="1" xml:space="preserve"> IF( AND( OFFSET($A$1, 96 - 1, 52 - 1) = "1", OFFSET($A$1, 96 - 1, 53 - 1) = "1" ), 1, IF( AND( OFFSET($A$1, 96 - 1, 52 - 1) = "1", OFFSET($A$1, 96 - 1, 53 - 1) = "0" ), 2, IF( AND( OFFSET($A$1, 96 - 1, 52 - 1) = "0", OFFSET($A$1, 96 - 1, 53 - 1) = "1" ), 3, 4 ) ) )</f>
        <v>1</v>
      </c>
      <c r="BD96" s="7">
        <v>5.8823529411764705E-2</v>
      </c>
      <c r="BE96" s="7" t="str">
        <f>"0"</f>
        <v>0</v>
      </c>
      <c r="BF96" t="str">
        <f ca="1">IF((OFFSET($A$1, 96 - 1, 56 - 1)) &gt;= (OFFSET($A$1, 101 - 1, 7 - 1)), "1","0")</f>
        <v>0</v>
      </c>
      <c r="BG96">
        <f ca="1" xml:space="preserve"> IF( AND( OFFSET($A$1, 96 - 1, 57 - 1) = "1", OFFSET($A$1, 96 - 1, 58 - 1) = "1" ), 1, IF( AND( OFFSET($A$1, 96 - 1, 57 - 1) = "1", OFFSET($A$1, 96 - 1, 58 - 1) = "0" ), 2, IF( AND( OFFSET($A$1, 96 - 1, 57 - 1) = "0", OFFSET($A$1, 96 - 1, 58 - 1) = "1" ), 3, 4 ) ) )</f>
        <v>4</v>
      </c>
    </row>
    <row r="97" spans="2:59" x14ac:dyDescent="0.25">
      <c r="AY97" s="7">
        <v>0.35294117647058826</v>
      </c>
      <c r="AZ97" s="7" t="str">
        <f>"1"</f>
        <v>1</v>
      </c>
      <c r="BA97" t="str">
        <f ca="1">IF((OFFSET($A$1, 97 - 1, 51 - 1)) &gt;= (OFFSET($A$1, 77 - 1, 7 - 1)), "1","0")</f>
        <v>0</v>
      </c>
      <c r="BB97">
        <f ca="1" xml:space="preserve"> IF( AND( OFFSET($A$1, 97 - 1, 52 - 1) = "1", OFFSET($A$1, 97 - 1, 53 - 1) = "1" ), 1, IF( AND( OFFSET($A$1, 97 - 1, 52 - 1) = "1", OFFSET($A$1, 97 - 1, 53 - 1) = "0" ), 2, IF( AND( OFFSET($A$1, 97 - 1, 52 - 1) = "0", OFFSET($A$1, 97 - 1, 53 - 1) = "1" ), 3, 4 ) ) )</f>
        <v>2</v>
      </c>
      <c r="BD97" s="7">
        <v>1</v>
      </c>
      <c r="BE97" s="7" t="str">
        <f>"0"</f>
        <v>0</v>
      </c>
      <c r="BF97" t="str">
        <f ca="1">IF((OFFSET($A$1, 97 - 1, 56 - 1)) &gt;= (OFFSET($A$1, 101 - 1, 7 - 1)), "1","0")</f>
        <v>1</v>
      </c>
      <c r="BG97">
        <f ca="1" xml:space="preserve"> IF( AND( OFFSET($A$1, 97 - 1, 57 - 1) = "1", OFFSET($A$1, 97 - 1, 58 - 1) = "1" ), 1, IF( AND( OFFSET($A$1, 97 - 1, 57 - 1) = "1", OFFSET($A$1, 97 - 1, 58 - 1) = "0" ), 2, IF( AND( OFFSET($A$1, 97 - 1, 57 - 1) = "0", OFFSET($A$1, 97 - 1, 58 - 1) = "1" ), 3, 4 ) ) )</f>
        <v>3</v>
      </c>
    </row>
    <row r="98" spans="2:59" x14ac:dyDescent="0.25">
      <c r="AY98" s="7">
        <v>1</v>
      </c>
      <c r="AZ98" s="7" t="str">
        <f>"1"</f>
        <v>1</v>
      </c>
      <c r="BA98" t="str">
        <f ca="1">IF((OFFSET($A$1, 98 - 1, 51 - 1)) &gt;= (OFFSET($A$1, 77 - 1, 7 - 1)), "1","0")</f>
        <v>1</v>
      </c>
      <c r="BB98">
        <f ca="1" xml:space="preserve"> IF( AND( OFFSET($A$1, 98 - 1, 52 - 1) = "1", OFFSET($A$1, 98 - 1, 53 - 1) = "1" ), 1, IF( AND( OFFSET($A$1, 98 - 1, 52 - 1) = "1", OFFSET($A$1, 98 - 1, 53 - 1) = "0" ), 2, IF( AND( OFFSET($A$1, 98 - 1, 52 - 1) = "0", OFFSET($A$1, 98 - 1, 53 - 1) = "1" ), 3, 4 ) ) )</f>
        <v>1</v>
      </c>
      <c r="BD98" s="7">
        <v>1</v>
      </c>
      <c r="BE98" s="7" t="str">
        <f>"1"</f>
        <v>1</v>
      </c>
      <c r="BF98" t="str">
        <f ca="1">IF((OFFSET($A$1, 98 - 1, 56 - 1)) &gt;= (OFFSET($A$1, 101 - 1, 7 - 1)), "1","0")</f>
        <v>1</v>
      </c>
      <c r="BG98">
        <f ca="1" xml:space="preserve"> IF( AND( OFFSET($A$1, 98 - 1, 57 - 1) = "1", OFFSET($A$1, 98 - 1, 58 - 1) = "1" ), 1, IF( AND( OFFSET($A$1, 98 - 1, 57 - 1) = "1", OFFSET($A$1, 98 - 1, 58 - 1) = "0" ), 2, IF( AND( OFFSET($A$1, 98 - 1, 57 - 1) = "0", OFFSET($A$1, 98 - 1, 58 - 1) = "1" ), 3, 4 ) ) )</f>
        <v>1</v>
      </c>
    </row>
    <row r="99" spans="2:59" ht="18.75" x14ac:dyDescent="0.3">
      <c r="B99" s="25" t="s">
        <v>138</v>
      </c>
      <c r="AY99" s="7">
        <v>1</v>
      </c>
      <c r="AZ99" s="7" t="str">
        <f>"1"</f>
        <v>1</v>
      </c>
      <c r="BA99" t="str">
        <f ca="1">IF((OFFSET($A$1, 99 - 1, 51 - 1)) &gt;= (OFFSET($A$1, 77 - 1, 7 - 1)), "1","0")</f>
        <v>1</v>
      </c>
      <c r="BB99">
        <f ca="1" xml:space="preserve"> IF( AND( OFFSET($A$1, 99 - 1, 52 - 1) = "1", OFFSET($A$1, 99 - 1, 53 - 1) = "1" ), 1, IF( AND( OFFSET($A$1, 99 - 1, 52 - 1) = "1", OFFSET($A$1, 99 - 1, 53 - 1) = "0" ), 2, IF( AND( OFFSET($A$1, 99 - 1, 52 - 1) = "0", OFFSET($A$1, 99 - 1, 53 - 1) = "1" ), 3, 4 ) ) )</f>
        <v>1</v>
      </c>
      <c r="BD99" s="7">
        <v>0.23529411764705882</v>
      </c>
      <c r="BE99" s="7" t="str">
        <f>"1"</f>
        <v>1</v>
      </c>
      <c r="BF99" t="str">
        <f ca="1">IF((OFFSET($A$1, 99 - 1, 56 - 1)) &gt;= (OFFSET($A$1, 101 - 1, 7 - 1)), "1","0")</f>
        <v>0</v>
      </c>
      <c r="BG99">
        <f ca="1" xml:space="preserve"> IF( AND( OFFSET($A$1, 99 - 1, 57 - 1) = "1", OFFSET($A$1, 99 - 1, 58 - 1) = "1" ), 1, IF( AND( OFFSET($A$1, 99 - 1, 57 - 1) = "1", OFFSET($A$1, 99 - 1, 58 - 1) = "0" ), 2, IF( AND( OFFSET($A$1, 99 - 1, 57 - 1) = "0", OFFSET($A$1, 99 - 1, 58 - 1) = "1" ), 3, 4 ) ) )</f>
        <v>2</v>
      </c>
    </row>
    <row r="100" spans="2:59" x14ac:dyDescent="0.25">
      <c r="AY100" s="7">
        <v>0.29411764705882354</v>
      </c>
      <c r="AZ100" s="7" t="str">
        <f>"0"</f>
        <v>0</v>
      </c>
      <c r="BA100" t="str">
        <f ca="1">IF((OFFSET($A$1, 100 - 1, 51 - 1)) &gt;= (OFFSET($A$1, 77 - 1, 7 - 1)), "1","0")</f>
        <v>0</v>
      </c>
      <c r="BB100">
        <f ca="1" xml:space="preserve"> IF( AND( OFFSET($A$1, 100 - 1, 52 - 1) = "1", OFFSET($A$1, 100 - 1, 53 - 1) = "1" ), 1, IF( AND( OFFSET($A$1, 100 - 1, 52 - 1) = "1", OFFSET($A$1, 100 - 1, 53 - 1) = "0" ), 2, IF( AND( OFFSET($A$1, 100 - 1, 52 - 1) = "0", OFFSET($A$1, 100 - 1, 53 - 1) = "1" ), 3, 4 ) ) )</f>
        <v>4</v>
      </c>
      <c r="BD100" s="7">
        <v>0</v>
      </c>
      <c r="BE100" s="7" t="str">
        <f>"0"</f>
        <v>0</v>
      </c>
      <c r="BF100" t="str">
        <f ca="1">IF((OFFSET($A$1, 100 - 1, 56 - 1)) &gt;= (OFFSET($A$1, 101 - 1, 7 - 1)), "1","0")</f>
        <v>0</v>
      </c>
      <c r="BG100">
        <f ca="1" xml:space="preserve"> IF( AND( OFFSET($A$1, 100 - 1, 57 - 1) = "1", OFFSET($A$1, 100 - 1, 58 - 1) = "1" ), 1, IF( AND( OFFSET($A$1, 100 - 1, 57 - 1) = "1", OFFSET($A$1, 100 - 1, 58 - 1) = "0" ), 2, IF( AND( OFFSET($A$1, 100 - 1, 57 - 1) = "0", OFFSET($A$1, 100 - 1, 58 - 1) = "1" ), 3, 4 ) ) )</f>
        <v>4</v>
      </c>
    </row>
    <row r="101" spans="2:59" x14ac:dyDescent="0.25">
      <c r="C101" s="30" t="s">
        <v>124</v>
      </c>
      <c r="D101" s="31"/>
      <c r="E101" s="31"/>
      <c r="F101" s="32"/>
      <c r="G101" s="28">
        <v>0.5</v>
      </c>
      <c r="H101" s="30" t="s">
        <v>125</v>
      </c>
      <c r="I101" s="31"/>
      <c r="J101" s="31"/>
      <c r="K101" s="31"/>
      <c r="L101" s="31"/>
      <c r="M101" s="32"/>
      <c r="AY101" s="7">
        <v>0.35294117647058826</v>
      </c>
      <c r="AZ101" s="7" t="str">
        <f>"0"</f>
        <v>0</v>
      </c>
      <c r="BA101" t="str">
        <f ca="1">IF((OFFSET($A$1, 101 - 1, 51 - 1)) &gt;= (OFFSET($A$1, 77 - 1, 7 - 1)), "1","0")</f>
        <v>0</v>
      </c>
      <c r="BB101">
        <f ca="1" xml:space="preserve"> IF( AND( OFFSET($A$1, 101 - 1, 52 - 1) = "1", OFFSET($A$1, 101 - 1, 53 - 1) = "1" ), 1, IF( AND( OFFSET($A$1, 101 - 1, 52 - 1) = "1", OFFSET($A$1, 101 - 1, 53 - 1) = "0" ), 2, IF( AND( OFFSET($A$1, 101 - 1, 52 - 1) = "0", OFFSET($A$1, 101 - 1, 53 - 1) = "1" ), 3, 4 ) ) )</f>
        <v>4</v>
      </c>
      <c r="BD101" s="7">
        <v>1</v>
      </c>
      <c r="BE101" s="7" t="str">
        <f>"1"</f>
        <v>1</v>
      </c>
      <c r="BF101" t="str">
        <f ca="1">IF((OFFSET($A$1, 101 - 1, 56 - 1)) &gt;= (OFFSET($A$1, 101 - 1, 7 - 1)), "1","0")</f>
        <v>1</v>
      </c>
      <c r="BG101">
        <f ca="1" xml:space="preserve"> IF( AND( OFFSET($A$1, 101 - 1, 57 - 1) = "1", OFFSET($A$1, 101 - 1, 58 - 1) = "1" ), 1, IF( AND( OFFSET($A$1, 101 - 1, 57 - 1) = "1", OFFSET($A$1, 101 - 1, 58 - 1) = "0" ), 2, IF( AND( OFFSET($A$1, 101 - 1, 57 - 1) = "0", OFFSET($A$1, 101 - 1, 58 - 1) = "1" ), 3, 4 ) ) )</f>
        <v>1</v>
      </c>
    </row>
    <row r="102" spans="2:59" x14ac:dyDescent="0.25">
      <c r="AY102" s="7">
        <v>0</v>
      </c>
      <c r="AZ102" s="7" t="str">
        <f>"0"</f>
        <v>0</v>
      </c>
      <c r="BA102" t="str">
        <f ca="1">IF((OFFSET($A$1, 102 - 1, 51 - 1)) &gt;= (OFFSET($A$1, 77 - 1, 7 - 1)), "1","0")</f>
        <v>0</v>
      </c>
      <c r="BB102">
        <f ca="1" xml:space="preserve"> IF( AND( OFFSET($A$1, 102 - 1, 52 - 1) = "1", OFFSET($A$1, 102 - 1, 53 - 1) = "1" ), 1, IF( AND( OFFSET($A$1, 102 - 1, 52 - 1) = "1", OFFSET($A$1, 102 - 1, 53 - 1) = "0" ), 2, IF( AND( OFFSET($A$1, 102 - 1, 52 - 1) = "0", OFFSET($A$1, 102 - 1, 53 - 1) = "1" ), 3, 4 ) ) )</f>
        <v>4</v>
      </c>
      <c r="BD102" s="7">
        <v>0.23529411764705882</v>
      </c>
      <c r="BE102" s="7" t="str">
        <f>"0"</f>
        <v>0</v>
      </c>
      <c r="BF102" t="str">
        <f ca="1">IF((OFFSET($A$1, 102 - 1, 56 - 1)) &gt;= (OFFSET($A$1, 101 - 1, 7 - 1)), "1","0")</f>
        <v>0</v>
      </c>
      <c r="BG102">
        <f ca="1" xml:space="preserve"> IF( AND( OFFSET($A$1, 102 - 1, 57 - 1) = "1", OFFSET($A$1, 102 - 1, 58 - 1) = "1" ), 1, IF( AND( OFFSET($A$1, 102 - 1, 57 - 1) = "1", OFFSET($A$1, 102 - 1, 58 - 1) = "0" ), 2, IF( AND( OFFSET($A$1, 102 - 1, 57 - 1) = "0", OFFSET($A$1, 102 - 1, 58 - 1) = "1" ), 3, 4 ) ) )</f>
        <v>4</v>
      </c>
    </row>
    <row r="103" spans="2:59" x14ac:dyDescent="0.25">
      <c r="C103" s="11" t="s">
        <v>126</v>
      </c>
      <c r="D103" s="12"/>
      <c r="E103" s="13"/>
      <c r="AY103" s="7">
        <v>0</v>
      </c>
      <c r="AZ103" s="7" t="str">
        <f>"0"</f>
        <v>0</v>
      </c>
      <c r="BA103" t="str">
        <f ca="1">IF((OFFSET($A$1, 103 - 1, 51 - 1)) &gt;= (OFFSET($A$1, 77 - 1, 7 - 1)), "1","0")</f>
        <v>0</v>
      </c>
      <c r="BB103">
        <f ca="1" xml:space="preserve"> IF( AND( OFFSET($A$1, 103 - 1, 52 - 1) = "1", OFFSET($A$1, 103 - 1, 53 - 1) = "1" ), 1, IF( AND( OFFSET($A$1, 103 - 1, 52 - 1) = "1", OFFSET($A$1, 103 - 1, 53 - 1) = "0" ), 2, IF( AND( OFFSET($A$1, 103 - 1, 52 - 1) = "0", OFFSET($A$1, 103 - 1, 53 - 1) = "1" ), 3, 4 ) ) )</f>
        <v>4</v>
      </c>
      <c r="BD103" s="7">
        <v>0</v>
      </c>
      <c r="BE103" s="7" t="str">
        <f>"0"</f>
        <v>0</v>
      </c>
      <c r="BF103" t="str">
        <f ca="1">IF((OFFSET($A$1, 103 - 1, 56 - 1)) &gt;= (OFFSET($A$1, 101 - 1, 7 - 1)), "1","0")</f>
        <v>0</v>
      </c>
      <c r="BG103">
        <f ca="1" xml:space="preserve"> IF( AND( OFFSET($A$1, 103 - 1, 57 - 1) = "1", OFFSET($A$1, 103 - 1, 58 - 1) = "1" ), 1, IF( AND( OFFSET($A$1, 103 - 1, 57 - 1) = "1", OFFSET($A$1, 103 - 1, 58 - 1) = "0" ), 2, IF( AND( OFFSET($A$1, 103 - 1, 57 - 1) = "0", OFFSET($A$1, 103 - 1, 58 - 1) = "1" ), 3, 4 ) ) )</f>
        <v>4</v>
      </c>
    </row>
    <row r="104" spans="2:59" x14ac:dyDescent="0.25">
      <c r="C104" s="10"/>
      <c r="D104" s="33" t="s">
        <v>64</v>
      </c>
      <c r="E104" s="34"/>
      <c r="AY104" s="7">
        <v>0</v>
      </c>
      <c r="AZ104" s="7" t="str">
        <f>"0"</f>
        <v>0</v>
      </c>
      <c r="BA104" t="str">
        <f ca="1">IF((OFFSET($A$1, 104 - 1, 51 - 1)) &gt;= (OFFSET($A$1, 77 - 1, 7 - 1)), "1","0")</f>
        <v>0</v>
      </c>
      <c r="BB104">
        <f ca="1" xml:space="preserve"> IF( AND( OFFSET($A$1, 104 - 1, 52 - 1) = "1", OFFSET($A$1, 104 - 1, 53 - 1) = "1" ), 1, IF( AND( OFFSET($A$1, 104 - 1, 52 - 1) = "1", OFFSET($A$1, 104 - 1, 53 - 1) = "0" ), 2, IF( AND( OFFSET($A$1, 104 - 1, 52 - 1) = "0", OFFSET($A$1, 104 - 1, 53 - 1) = "1" ), 3, 4 ) ) )</f>
        <v>4</v>
      </c>
      <c r="BD104" s="7">
        <v>0.70588235294117652</v>
      </c>
      <c r="BE104" s="7" t="str">
        <f>"0"</f>
        <v>0</v>
      </c>
      <c r="BF104" t="str">
        <f ca="1">IF((OFFSET($A$1, 104 - 1, 56 - 1)) &gt;= (OFFSET($A$1, 101 - 1, 7 - 1)), "1","0")</f>
        <v>1</v>
      </c>
      <c r="BG104">
        <f ca="1" xml:space="preserve"> IF( AND( OFFSET($A$1, 104 - 1, 57 - 1) = "1", OFFSET($A$1, 104 - 1, 58 - 1) = "1" ), 1, IF( AND( OFFSET($A$1, 104 - 1, 57 - 1) = "1", OFFSET($A$1, 104 - 1, 58 - 1) = "0" ), 2, IF( AND( OFFSET($A$1, 104 - 1, 57 - 1) = "0", OFFSET($A$1, 104 - 1, 58 - 1) = "1" ), 3, 4 ) ) )</f>
        <v>3</v>
      </c>
    </row>
    <row r="105" spans="2:59" x14ac:dyDescent="0.25">
      <c r="C105" s="9" t="s">
        <v>127</v>
      </c>
      <c r="D105" s="10">
        <v>1</v>
      </c>
      <c r="E105" s="10">
        <v>0</v>
      </c>
      <c r="AY105" s="7">
        <v>5.8823529411764705E-2</v>
      </c>
      <c r="AZ105" s="7" t="str">
        <f>"0"</f>
        <v>0</v>
      </c>
      <c r="BA105" t="str">
        <f ca="1">IF((OFFSET($A$1, 105 - 1, 51 - 1)) &gt;= (OFFSET($A$1, 77 - 1, 7 - 1)), "1","0")</f>
        <v>0</v>
      </c>
      <c r="BB105">
        <f ca="1" xml:space="preserve"> IF( AND( OFFSET($A$1, 105 - 1, 52 - 1) = "1", OFFSET($A$1, 105 - 1, 53 - 1) = "1" ), 1, IF( AND( OFFSET($A$1, 105 - 1, 52 - 1) = "1", OFFSET($A$1, 105 - 1, 53 - 1) = "0" ), 2, IF( AND( OFFSET($A$1, 105 - 1, 52 - 1) = "0", OFFSET($A$1, 105 - 1, 53 - 1) = "1" ), 3, 4 ) ) )</f>
        <v>4</v>
      </c>
      <c r="BD105" s="7">
        <v>0.23529411764705882</v>
      </c>
      <c r="BE105" s="7" t="str">
        <f>"0"</f>
        <v>0</v>
      </c>
      <c r="BF105" t="str">
        <f ca="1">IF((OFFSET($A$1, 105 - 1, 56 - 1)) &gt;= (OFFSET($A$1, 101 - 1, 7 - 1)), "1","0")</f>
        <v>0</v>
      </c>
      <c r="BG105">
        <f ca="1" xml:space="preserve"> IF( AND( OFFSET($A$1, 105 - 1, 57 - 1) = "1", OFFSET($A$1, 105 - 1, 58 - 1) = "1" ), 1, IF( AND( OFFSET($A$1, 105 - 1, 57 - 1) = "1", OFFSET($A$1, 105 - 1, 58 - 1) = "0" ), 2, IF( AND( OFFSET($A$1, 105 - 1, 57 - 1) = "0", OFFSET($A$1, 105 - 1, 58 - 1) = "1" ), 3, 4 ) ) )</f>
        <v>4</v>
      </c>
    </row>
    <row r="106" spans="2:59" x14ac:dyDescent="0.25">
      <c r="C106" s="9">
        <v>1</v>
      </c>
      <c r="D106" s="7">
        <f ca="1" xml:space="preserve"> COUNTIF( OFFSET($A$1, 1 - 1, 59 - 1, 401, 1), 1 )</f>
        <v>103</v>
      </c>
      <c r="E106" s="7">
        <f ca="1" xml:space="preserve"> COUNTIF( OFFSET($A$1, 1 - 1, 59 - 1, 401, 1), 2 )</f>
        <v>19</v>
      </c>
      <c r="AY106" s="7">
        <v>5.8823529411764705E-2</v>
      </c>
      <c r="AZ106" s="7" t="str">
        <f>"0"</f>
        <v>0</v>
      </c>
      <c r="BA106" t="str">
        <f ca="1">IF((OFFSET($A$1, 106 - 1, 51 - 1)) &gt;= (OFFSET($A$1, 77 - 1, 7 - 1)), "1","0")</f>
        <v>0</v>
      </c>
      <c r="BB106">
        <f ca="1" xml:space="preserve"> IF( AND( OFFSET($A$1, 106 - 1, 52 - 1) = "1", OFFSET($A$1, 106 - 1, 53 - 1) = "1" ), 1, IF( AND( OFFSET($A$1, 106 - 1, 52 - 1) = "1", OFFSET($A$1, 106 - 1, 53 - 1) = "0" ), 2, IF( AND( OFFSET($A$1, 106 - 1, 52 - 1) = "0", OFFSET($A$1, 106 - 1, 53 - 1) = "1" ), 3, 4 ) ) )</f>
        <v>4</v>
      </c>
      <c r="BD106" s="7">
        <v>0.41176470588235292</v>
      </c>
      <c r="BE106" s="7" t="str">
        <f>"0"</f>
        <v>0</v>
      </c>
      <c r="BF106" t="str">
        <f ca="1">IF((OFFSET($A$1, 106 - 1, 56 - 1)) &gt;= (OFFSET($A$1, 101 - 1, 7 - 1)), "1","0")</f>
        <v>0</v>
      </c>
      <c r="BG106">
        <f ca="1" xml:space="preserve"> IF( AND( OFFSET($A$1, 106 - 1, 57 - 1) = "1", OFFSET($A$1, 106 - 1, 58 - 1) = "1" ), 1, IF( AND( OFFSET($A$1, 106 - 1, 57 - 1) = "1", OFFSET($A$1, 106 - 1, 58 - 1) = "0" ), 2, IF( AND( OFFSET($A$1, 106 - 1, 57 - 1) = "0", OFFSET($A$1, 106 - 1, 58 - 1) = "1" ), 3, 4 ) ) )</f>
        <v>4</v>
      </c>
    </row>
    <row r="107" spans="2:59" x14ac:dyDescent="0.25">
      <c r="C107" s="9">
        <v>0</v>
      </c>
      <c r="D107" s="7">
        <f ca="1" xml:space="preserve"> COUNTIF( OFFSET($A$1, 1 - 1, 59 - 1, 401, 1), 3 )</f>
        <v>19</v>
      </c>
      <c r="E107" s="7">
        <f ca="1" xml:space="preserve"> COUNTIF( OFFSET($A$1, 1 - 1, 59 - 1, 401, 1), 4 )</f>
        <v>259</v>
      </c>
      <c r="AY107" s="7">
        <v>0</v>
      </c>
      <c r="AZ107" s="7" t="str">
        <f>"0"</f>
        <v>0</v>
      </c>
      <c r="BA107" t="str">
        <f ca="1">IF((OFFSET($A$1, 107 - 1, 51 - 1)) &gt;= (OFFSET($A$1, 77 - 1, 7 - 1)), "1","0")</f>
        <v>0</v>
      </c>
      <c r="BB107">
        <f ca="1" xml:space="preserve"> IF( AND( OFFSET($A$1, 107 - 1, 52 - 1) = "1", OFFSET($A$1, 107 - 1, 53 - 1) = "1" ), 1, IF( AND( OFFSET($A$1, 107 - 1, 52 - 1) = "1", OFFSET($A$1, 107 - 1, 53 - 1) = "0" ), 2, IF( AND( OFFSET($A$1, 107 - 1, 52 - 1) = "0", OFFSET($A$1, 107 - 1, 53 - 1) = "1" ), 3, 4 ) ) )</f>
        <v>4</v>
      </c>
      <c r="BD107" s="7">
        <v>0</v>
      </c>
      <c r="BE107" s="7" t="str">
        <f>"0"</f>
        <v>0</v>
      </c>
      <c r="BF107" t="str">
        <f ca="1">IF((OFFSET($A$1, 107 - 1, 56 - 1)) &gt;= (OFFSET($A$1, 101 - 1, 7 - 1)), "1","0")</f>
        <v>0</v>
      </c>
      <c r="BG107">
        <f ca="1" xml:space="preserve"> IF( AND( OFFSET($A$1, 107 - 1, 57 - 1) = "1", OFFSET($A$1, 107 - 1, 58 - 1) = "1" ), 1, IF( AND( OFFSET($A$1, 107 - 1, 57 - 1) = "1", OFFSET($A$1, 107 - 1, 58 - 1) = "0" ), 2, IF( AND( OFFSET($A$1, 107 - 1, 57 - 1) = "0", OFFSET($A$1, 107 - 1, 58 - 1) = "1" ), 3, 4 ) ) )</f>
        <v>4</v>
      </c>
    </row>
    <row r="108" spans="2:59" x14ac:dyDescent="0.25">
      <c r="AY108" s="7">
        <v>0</v>
      </c>
      <c r="AZ108" s="7" t="str">
        <f>"0"</f>
        <v>0</v>
      </c>
      <c r="BA108" t="str">
        <f ca="1">IF((OFFSET($A$1, 108 - 1, 51 - 1)) &gt;= (OFFSET($A$1, 77 - 1, 7 - 1)), "1","0")</f>
        <v>0</v>
      </c>
      <c r="BB108">
        <f ca="1" xml:space="preserve"> IF( AND( OFFSET($A$1, 108 - 1, 52 - 1) = "1", OFFSET($A$1, 108 - 1, 53 - 1) = "1" ), 1, IF( AND( OFFSET($A$1, 108 - 1, 52 - 1) = "1", OFFSET($A$1, 108 - 1, 53 - 1) = "0" ), 2, IF( AND( OFFSET($A$1, 108 - 1, 52 - 1) = "0", OFFSET($A$1, 108 - 1, 53 - 1) = "1" ), 3, 4 ) ) )</f>
        <v>4</v>
      </c>
      <c r="BD108" s="7">
        <v>0.23529411764705882</v>
      </c>
      <c r="BE108" s="7" t="str">
        <f>"1"</f>
        <v>1</v>
      </c>
      <c r="BF108" t="str">
        <f ca="1">IF((OFFSET($A$1, 108 - 1, 56 - 1)) &gt;= (OFFSET($A$1, 101 - 1, 7 - 1)), "1","0")</f>
        <v>0</v>
      </c>
      <c r="BG108">
        <f ca="1" xml:space="preserve"> IF( AND( OFFSET($A$1, 108 - 1, 57 - 1) = "1", OFFSET($A$1, 108 - 1, 58 - 1) = "1" ), 1, IF( AND( OFFSET($A$1, 108 - 1, 57 - 1) = "1", OFFSET($A$1, 108 - 1, 58 - 1) = "0" ), 2, IF( AND( OFFSET($A$1, 108 - 1, 57 - 1) = "0", OFFSET($A$1, 108 - 1, 58 - 1) = "1" ), 3, 4 ) ) )</f>
        <v>2</v>
      </c>
    </row>
    <row r="109" spans="2:59" x14ac:dyDescent="0.25">
      <c r="C109" s="11" t="s">
        <v>128</v>
      </c>
      <c r="D109" s="12"/>
      <c r="E109" s="12"/>
      <c r="F109" s="13"/>
      <c r="AY109" s="7">
        <v>0.94117647058823528</v>
      </c>
      <c r="AZ109" s="7" t="str">
        <f>"1"</f>
        <v>1</v>
      </c>
      <c r="BA109" t="str">
        <f ca="1">IF((OFFSET($A$1, 109 - 1, 51 - 1)) &gt;= (OFFSET($A$1, 77 - 1, 7 - 1)), "1","0")</f>
        <v>1</v>
      </c>
      <c r="BB109">
        <f ca="1" xml:space="preserve"> IF( AND( OFFSET($A$1, 109 - 1, 52 - 1) = "1", OFFSET($A$1, 109 - 1, 53 - 1) = "1" ), 1, IF( AND( OFFSET($A$1, 109 - 1, 52 - 1) = "1", OFFSET($A$1, 109 - 1, 53 - 1) = "0" ), 2, IF( AND( OFFSET($A$1, 109 - 1, 52 - 1) = "0", OFFSET($A$1, 109 - 1, 53 - 1) = "1" ), 3, 4 ) ) )</f>
        <v>1</v>
      </c>
      <c r="BD109" s="7">
        <v>0</v>
      </c>
      <c r="BE109" s="7" t="str">
        <f>"0"</f>
        <v>0</v>
      </c>
      <c r="BF109" t="str">
        <f ca="1">IF((OFFSET($A$1, 109 - 1, 56 - 1)) &gt;= (OFFSET($A$1, 101 - 1, 7 - 1)), "1","0")</f>
        <v>0</v>
      </c>
      <c r="BG109">
        <f ca="1" xml:space="preserve"> IF( AND( OFFSET($A$1, 109 - 1, 57 - 1) = "1", OFFSET($A$1, 109 - 1, 58 - 1) = "1" ), 1, IF( AND( OFFSET($A$1, 109 - 1, 57 - 1) = "1", OFFSET($A$1, 109 - 1, 58 - 1) = "0" ), 2, IF( AND( OFFSET($A$1, 109 - 1, 57 - 1) = "0", OFFSET($A$1, 109 - 1, 58 - 1) = "1" ), 3, 4 ) ) )</f>
        <v>4</v>
      </c>
    </row>
    <row r="110" spans="2:59" x14ac:dyDescent="0.25">
      <c r="C110" s="10" t="s">
        <v>35</v>
      </c>
      <c r="D110" s="10" t="s">
        <v>129</v>
      </c>
      <c r="E110" s="10" t="s">
        <v>130</v>
      </c>
      <c r="F110" s="10" t="s">
        <v>131</v>
      </c>
      <c r="AY110" s="7">
        <v>0</v>
      </c>
      <c r="AZ110" s="7" t="str">
        <f>"0"</f>
        <v>0</v>
      </c>
      <c r="BA110" t="str">
        <f ca="1">IF((OFFSET($A$1, 110 - 1, 51 - 1)) &gt;= (OFFSET($A$1, 77 - 1, 7 - 1)), "1","0")</f>
        <v>0</v>
      </c>
      <c r="BB110">
        <f ca="1" xml:space="preserve"> IF( AND( OFFSET($A$1, 110 - 1, 52 - 1) = "1", OFFSET($A$1, 110 - 1, 53 - 1) = "1" ), 1, IF( AND( OFFSET($A$1, 110 - 1, 52 - 1) = "1", OFFSET($A$1, 110 - 1, 53 - 1) = "0" ), 2, IF( AND( OFFSET($A$1, 110 - 1, 52 - 1) = "0", OFFSET($A$1, 110 - 1, 53 - 1) = "1" ), 3, 4 ) ) )</f>
        <v>4</v>
      </c>
      <c r="BD110" s="7">
        <v>0.94117647058823528</v>
      </c>
      <c r="BE110" s="7" t="str">
        <f>"1"</f>
        <v>1</v>
      </c>
      <c r="BF110" t="str">
        <f ca="1">IF((OFFSET($A$1, 110 - 1, 56 - 1)) &gt;= (OFFSET($A$1, 101 - 1, 7 - 1)), "1","0")</f>
        <v>1</v>
      </c>
      <c r="BG110">
        <f ca="1" xml:space="preserve"> IF( AND( OFFSET($A$1, 110 - 1, 57 - 1) = "1", OFFSET($A$1, 110 - 1, 58 - 1) = "1" ), 1, IF( AND( OFFSET($A$1, 110 - 1, 57 - 1) = "1", OFFSET($A$1, 110 - 1, 58 - 1) = "0" ), 2, IF( AND( OFFSET($A$1, 110 - 1, 57 - 1) = "0", OFFSET($A$1, 110 - 1, 58 - 1) = "1" ), 3, 4 ) ) )</f>
        <v>1</v>
      </c>
    </row>
    <row r="111" spans="2:59" x14ac:dyDescent="0.25">
      <c r="C111" s="9">
        <v>1</v>
      </c>
      <c r="D111" s="7">
        <f ca="1">SUM(OFFSET($A$1, 106 - 1, 4 - 1, 1, 2))</f>
        <v>122</v>
      </c>
      <c r="E111" s="7">
        <f ca="1">SUM(OFFSET($A$1, 106 - 1, 4 - 1, 1, 2)) - OFFSET($A$1, 106 - 1, 4 - 1)</f>
        <v>19</v>
      </c>
      <c r="F111" s="7">
        <f ca="1">IF(OFFSET($A$1, 111 - 1, 4 - 1)=0,"Undefined",((OFFSET($A$1, 111 - 1, 5 - 1))*100) / (OFFSET($A$1, 111 - 1, 4 - 1)))</f>
        <v>15.573770491803279</v>
      </c>
      <c r="AY111" s="7">
        <v>0.23529411764705882</v>
      </c>
      <c r="AZ111" s="7" t="str">
        <f>"1"</f>
        <v>1</v>
      </c>
      <c r="BA111" t="str">
        <f ca="1">IF((OFFSET($A$1, 111 - 1, 51 - 1)) &gt;= (OFFSET($A$1, 77 - 1, 7 - 1)), "1","0")</f>
        <v>0</v>
      </c>
      <c r="BB111">
        <f ca="1" xml:space="preserve"> IF( AND( OFFSET($A$1, 111 - 1, 52 - 1) = "1", OFFSET($A$1, 111 - 1, 53 - 1) = "1" ), 1, IF( AND( OFFSET($A$1, 111 - 1, 52 - 1) = "1", OFFSET($A$1, 111 - 1, 53 - 1) = "0" ), 2, IF( AND( OFFSET($A$1, 111 - 1, 52 - 1) = "0", OFFSET($A$1, 111 - 1, 53 - 1) = "1" ), 3, 4 ) ) )</f>
        <v>2</v>
      </c>
      <c r="BD111" s="7">
        <v>1</v>
      </c>
      <c r="BE111" s="7" t="str">
        <f>"1"</f>
        <v>1</v>
      </c>
      <c r="BF111" t="str">
        <f ca="1">IF((OFFSET($A$1, 111 - 1, 56 - 1)) &gt;= (OFFSET($A$1, 101 - 1, 7 - 1)), "1","0")</f>
        <v>1</v>
      </c>
      <c r="BG111">
        <f ca="1" xml:space="preserve"> IF( AND( OFFSET($A$1, 111 - 1, 57 - 1) = "1", OFFSET($A$1, 111 - 1, 58 - 1) = "1" ), 1, IF( AND( OFFSET($A$1, 111 - 1, 57 - 1) = "1", OFFSET($A$1, 111 - 1, 58 - 1) = "0" ), 2, IF( AND( OFFSET($A$1, 111 - 1, 57 - 1) = "0", OFFSET($A$1, 111 - 1, 58 - 1) = "1" ), 3, 4 ) ) )</f>
        <v>1</v>
      </c>
    </row>
    <row r="112" spans="2:59" x14ac:dyDescent="0.25">
      <c r="C112" s="9">
        <v>0</v>
      </c>
      <c r="D112" s="7">
        <f ca="1">SUM(OFFSET($A$1, 107 - 1, 4 - 1, 1, 2))</f>
        <v>278</v>
      </c>
      <c r="E112" s="7">
        <f ca="1">SUM(OFFSET($A$1, 107 - 1, 4 - 1, 1, 2)) - OFFSET($A$1, 107 - 1, 5 - 1)</f>
        <v>19</v>
      </c>
      <c r="F112" s="7">
        <f ca="1">IF(OFFSET($A$1, 112 - 1, 4 - 1)=0,"Undefined",((OFFSET($A$1, 112 - 1, 5 - 1))*100) / (OFFSET($A$1, 112 - 1, 4 - 1)))</f>
        <v>6.8345323741007196</v>
      </c>
      <c r="AY112" s="7">
        <v>1</v>
      </c>
      <c r="AZ112" s="7" t="str">
        <f>"1"</f>
        <v>1</v>
      </c>
      <c r="BA112" t="str">
        <f ca="1">IF((OFFSET($A$1, 112 - 1, 51 - 1)) &gt;= (OFFSET($A$1, 77 - 1, 7 - 1)), "1","0")</f>
        <v>1</v>
      </c>
      <c r="BB112">
        <f ca="1" xml:space="preserve"> IF( AND( OFFSET($A$1, 112 - 1, 52 - 1) = "1", OFFSET($A$1, 112 - 1, 53 - 1) = "1" ), 1, IF( AND( OFFSET($A$1, 112 - 1, 52 - 1) = "1", OFFSET($A$1, 112 - 1, 53 - 1) = "0" ), 2, IF( AND( OFFSET($A$1, 112 - 1, 52 - 1) = "0", OFFSET($A$1, 112 - 1, 53 - 1) = "1" ), 3, 4 ) ) )</f>
        <v>1</v>
      </c>
      <c r="BD112" s="7">
        <v>1</v>
      </c>
      <c r="BE112" s="7" t="str">
        <f>"1"</f>
        <v>1</v>
      </c>
      <c r="BF112" t="str">
        <f ca="1">IF((OFFSET($A$1, 112 - 1, 56 - 1)) &gt;= (OFFSET($A$1, 101 - 1, 7 - 1)), "1","0")</f>
        <v>1</v>
      </c>
      <c r="BG112">
        <f ca="1" xml:space="preserve"> IF( AND( OFFSET($A$1, 112 - 1, 57 - 1) = "1", OFFSET($A$1, 112 - 1, 58 - 1) = "1" ), 1, IF( AND( OFFSET($A$1, 112 - 1, 57 - 1) = "1", OFFSET($A$1, 112 - 1, 58 - 1) = "0" ), 2, IF( AND( OFFSET($A$1, 112 - 1, 57 - 1) = "0", OFFSET($A$1, 112 - 1, 58 - 1) = "1" ), 3, 4 ) ) )</f>
        <v>1</v>
      </c>
    </row>
    <row r="113" spans="3:59" x14ac:dyDescent="0.25">
      <c r="C113" s="9" t="s">
        <v>132</v>
      </c>
      <c r="D113" s="7">
        <f ca="1">SUM(OFFSET($A$1, 111 - 1, 4 - 1, 2, 1))</f>
        <v>400</v>
      </c>
      <c r="E113" s="7">
        <f ca="1">SUM(OFFSET($A$1, 111 - 1, 5 - 1, 2, 1))</f>
        <v>38</v>
      </c>
      <c r="F113" s="7">
        <f ca="1">IF(OFFSET($A$1, 113 - 1, 4 - 1)=0,"Undefined",((OFFSET($A$1, 113 - 1, 5 - 1))*100) / (OFFSET($A$1, 113 - 1, 4 - 1)))</f>
        <v>9.5</v>
      </c>
      <c r="AY113" s="7">
        <v>5.8823529411764705E-2</v>
      </c>
      <c r="AZ113" s="7" t="str">
        <f>"0"</f>
        <v>0</v>
      </c>
      <c r="BA113" t="str">
        <f ca="1">IF((OFFSET($A$1, 113 - 1, 51 - 1)) &gt;= (OFFSET($A$1, 77 - 1, 7 - 1)), "1","0")</f>
        <v>0</v>
      </c>
      <c r="BB113">
        <f ca="1" xml:space="preserve"> IF( AND( OFFSET($A$1, 113 - 1, 52 - 1) = "1", OFFSET($A$1, 113 - 1, 53 - 1) = "1" ), 1, IF( AND( OFFSET($A$1, 113 - 1, 52 - 1) = "1", OFFSET($A$1, 113 - 1, 53 - 1) = "0" ), 2, IF( AND( OFFSET($A$1, 113 - 1, 52 - 1) = "0", OFFSET($A$1, 113 - 1, 53 - 1) = "1" ), 3, 4 ) ) )</f>
        <v>4</v>
      </c>
      <c r="BD113" s="7">
        <v>0</v>
      </c>
      <c r="BE113" s="7" t="str">
        <f>"0"</f>
        <v>0</v>
      </c>
      <c r="BF113" t="str">
        <f ca="1">IF((OFFSET($A$1, 113 - 1, 56 - 1)) &gt;= (OFFSET($A$1, 101 - 1, 7 - 1)), "1","0")</f>
        <v>0</v>
      </c>
      <c r="BG113">
        <f ca="1" xml:space="preserve"> IF( AND( OFFSET($A$1, 113 - 1, 57 - 1) = "1", OFFSET($A$1, 113 - 1, 58 - 1) = "1" ), 1, IF( AND( OFFSET($A$1, 113 - 1, 57 - 1) = "1", OFFSET($A$1, 113 - 1, 58 - 1) = "0" ), 2, IF( AND( OFFSET($A$1, 113 - 1, 57 - 1) = "0", OFFSET($A$1, 113 - 1, 58 - 1) = "1" ), 3, 4 ) ) )</f>
        <v>4</v>
      </c>
    </row>
    <row r="114" spans="3:59" x14ac:dyDescent="0.25">
      <c r="AY114" s="7">
        <v>0.58823529411764708</v>
      </c>
      <c r="AZ114" s="7" t="str">
        <f>"0"</f>
        <v>0</v>
      </c>
      <c r="BA114" t="str">
        <f ca="1">IF((OFFSET($A$1, 114 - 1, 51 - 1)) &gt;= (OFFSET($A$1, 77 - 1, 7 - 1)), "1","0")</f>
        <v>1</v>
      </c>
      <c r="BB114">
        <f ca="1" xml:space="preserve"> IF( AND( OFFSET($A$1, 114 - 1, 52 - 1) = "1", OFFSET($A$1, 114 - 1, 53 - 1) = "1" ), 1, IF( AND( OFFSET($A$1, 114 - 1, 52 - 1) = "1", OFFSET($A$1, 114 - 1, 53 - 1) = "0" ), 2, IF( AND( OFFSET($A$1, 114 - 1, 52 - 1) = "0", OFFSET($A$1, 114 - 1, 53 - 1) = "1" ), 3, 4 ) ) )</f>
        <v>3</v>
      </c>
      <c r="BD114" s="7">
        <v>0</v>
      </c>
      <c r="BE114" s="7" t="str">
        <f>"0"</f>
        <v>0</v>
      </c>
      <c r="BF114" t="str">
        <f ca="1">IF((OFFSET($A$1, 114 - 1, 56 - 1)) &gt;= (OFFSET($A$1, 101 - 1, 7 - 1)), "1","0")</f>
        <v>0</v>
      </c>
      <c r="BG114">
        <f ca="1" xml:space="preserve"> IF( AND( OFFSET($A$1, 114 - 1, 57 - 1) = "1", OFFSET($A$1, 114 - 1, 58 - 1) = "1" ), 1, IF( AND( OFFSET($A$1, 114 - 1, 57 - 1) = "1", OFFSET($A$1, 114 - 1, 58 - 1) = "0" ), 2, IF( AND( OFFSET($A$1, 114 - 1, 57 - 1) = "0", OFFSET($A$1, 114 - 1, 58 - 1) = "1" ), 3, 4 ) ) )</f>
        <v>4</v>
      </c>
    </row>
    <row r="115" spans="3:59" x14ac:dyDescent="0.25">
      <c r="C115" s="11" t="s">
        <v>133</v>
      </c>
      <c r="D115" s="12"/>
      <c r="E115" s="13"/>
      <c r="AY115" s="7">
        <v>0</v>
      </c>
      <c r="AZ115" s="7" t="str">
        <f>"0"</f>
        <v>0</v>
      </c>
      <c r="BA115" t="str">
        <f ca="1">IF((OFFSET($A$1, 115 - 1, 51 - 1)) &gt;= (OFFSET($A$1, 77 - 1, 7 - 1)), "1","0")</f>
        <v>0</v>
      </c>
      <c r="BB115">
        <f ca="1" xml:space="preserve"> IF( AND( OFFSET($A$1, 115 - 1, 52 - 1) = "1", OFFSET($A$1, 115 - 1, 53 - 1) = "1" ), 1, IF( AND( OFFSET($A$1, 115 - 1, 52 - 1) = "1", OFFSET($A$1, 115 - 1, 53 - 1) = "0" ), 2, IF( AND( OFFSET($A$1, 115 - 1, 52 - 1) = "0", OFFSET($A$1, 115 - 1, 53 - 1) = "1" ), 3, 4 ) ) )</f>
        <v>4</v>
      </c>
      <c r="BD115" s="7">
        <v>0.17647058823529413</v>
      </c>
      <c r="BE115" s="7" t="str">
        <f>"0"</f>
        <v>0</v>
      </c>
      <c r="BF115" t="str">
        <f ca="1">IF((OFFSET($A$1, 115 - 1, 56 - 1)) &gt;= (OFFSET($A$1, 101 - 1, 7 - 1)), "1","0")</f>
        <v>0</v>
      </c>
      <c r="BG115">
        <f ca="1" xml:space="preserve"> IF( AND( OFFSET($A$1, 115 - 1, 57 - 1) = "1", OFFSET($A$1, 115 - 1, 58 - 1) = "1" ), 1, IF( AND( OFFSET($A$1, 115 - 1, 57 - 1) = "1", OFFSET($A$1, 115 - 1, 58 - 1) = "0" ), 2, IF( AND( OFFSET($A$1, 115 - 1, 57 - 1) = "0", OFFSET($A$1, 115 - 1, 58 - 1) = "1" ), 3, 4 ) ) )</f>
        <v>4</v>
      </c>
    </row>
    <row r="116" spans="3:59" x14ac:dyDescent="0.25">
      <c r="C116" s="14" t="s">
        <v>49</v>
      </c>
      <c r="D116" s="16"/>
      <c r="E116" s="26">
        <v>1</v>
      </c>
      <c r="AY116" s="7">
        <v>0.35294117647058826</v>
      </c>
      <c r="AZ116" s="7" t="str">
        <f>"1"</f>
        <v>1</v>
      </c>
      <c r="BA116" t="str">
        <f ca="1">IF((OFFSET($A$1, 116 - 1, 51 - 1)) &gt;= (OFFSET($A$1, 77 - 1, 7 - 1)), "1","0")</f>
        <v>0</v>
      </c>
      <c r="BB116">
        <f ca="1" xml:space="preserve"> IF( AND( OFFSET($A$1, 116 - 1, 52 - 1) = "1", OFFSET($A$1, 116 - 1, 53 - 1) = "1" ), 1, IF( AND( OFFSET($A$1, 116 - 1, 52 - 1) = "1", OFFSET($A$1, 116 - 1, 53 - 1) = "0" ), 2, IF( AND( OFFSET($A$1, 116 - 1, 52 - 1) = "0", OFFSET($A$1, 116 - 1, 53 - 1) = "1" ), 3, 4 ) ) )</f>
        <v>2</v>
      </c>
      <c r="BD116" s="7">
        <v>0</v>
      </c>
      <c r="BE116" s="7" t="str">
        <f>"0"</f>
        <v>0</v>
      </c>
      <c r="BF116" t="str">
        <f ca="1">IF((OFFSET($A$1, 116 - 1, 56 - 1)) &gt;= (OFFSET($A$1, 101 - 1, 7 - 1)), "1","0")</f>
        <v>0</v>
      </c>
      <c r="BG116">
        <f ca="1" xml:space="preserve"> IF( AND( OFFSET($A$1, 116 - 1, 57 - 1) = "1", OFFSET($A$1, 116 - 1, 58 - 1) = "1" ), 1, IF( AND( OFFSET($A$1, 116 - 1, 57 - 1) = "1", OFFSET($A$1, 116 - 1, 58 - 1) = "0" ), 2, IF( AND( OFFSET($A$1, 116 - 1, 57 - 1) = "0", OFFSET($A$1, 116 - 1, 58 - 1) = "1" ), 3, 4 ) ) )</f>
        <v>4</v>
      </c>
    </row>
    <row r="117" spans="3:59" x14ac:dyDescent="0.25">
      <c r="C117" s="14" t="s">
        <v>134</v>
      </c>
      <c r="D117" s="16"/>
      <c r="E117" s="26">
        <f ca="1">IF((OFFSET($A$1, 106 - 1, 4 - 1) + OFFSET($A$1, 107 - 1, 4 - 1)) = 0,"Undefined",OFFSET($A$1, 106 - 1, 4 - 1)/(OFFSET($A$1, 106 - 1, 4 - 1) + OFFSET($A$1, 107 - 1, 4 - 1)))</f>
        <v>0.84426229508196726</v>
      </c>
      <c r="AY117" s="7">
        <v>0.88235294117647056</v>
      </c>
      <c r="AZ117" s="7" t="str">
        <f>"1"</f>
        <v>1</v>
      </c>
      <c r="BA117" t="str">
        <f ca="1">IF((OFFSET($A$1, 117 - 1, 51 - 1)) &gt;= (OFFSET($A$1, 77 - 1, 7 - 1)), "1","0")</f>
        <v>1</v>
      </c>
      <c r="BB117">
        <f ca="1" xml:space="preserve"> IF( AND( OFFSET($A$1, 117 - 1, 52 - 1) = "1", OFFSET($A$1, 117 - 1, 53 - 1) = "1" ), 1, IF( AND( OFFSET($A$1, 117 - 1, 52 - 1) = "1", OFFSET($A$1, 117 - 1, 53 - 1) = "0" ), 2, IF( AND( OFFSET($A$1, 117 - 1, 52 - 1) = "0", OFFSET($A$1, 117 - 1, 53 - 1) = "1" ), 3, 4 ) ) )</f>
        <v>1</v>
      </c>
      <c r="BD117" s="7">
        <v>0</v>
      </c>
      <c r="BE117" s="7" t="str">
        <f>"0"</f>
        <v>0</v>
      </c>
      <c r="BF117" t="str">
        <f ca="1">IF((OFFSET($A$1, 117 - 1, 56 - 1)) &gt;= (OFFSET($A$1, 101 - 1, 7 - 1)), "1","0")</f>
        <v>0</v>
      </c>
      <c r="BG117">
        <f ca="1" xml:space="preserve"> IF( AND( OFFSET($A$1, 117 - 1, 57 - 1) = "1", OFFSET($A$1, 117 - 1, 58 - 1) = "1" ), 1, IF( AND( OFFSET($A$1, 117 - 1, 57 - 1) = "1", OFFSET($A$1, 117 - 1, 58 - 1) = "0" ), 2, IF( AND( OFFSET($A$1, 117 - 1, 57 - 1) = "0", OFFSET($A$1, 117 - 1, 58 - 1) = "1" ), 3, 4 ) ) )</f>
        <v>4</v>
      </c>
    </row>
    <row r="118" spans="3:59" x14ac:dyDescent="0.25">
      <c r="C118" s="14" t="s">
        <v>135</v>
      </c>
      <c r="D118" s="16"/>
      <c r="E118" s="26">
        <f ca="1">IF((OFFSET($A$1, 106 - 1, 4 - 1) + OFFSET($A$1, 106 - 1, 5 - 1)) = 0,"Undefined",OFFSET($A$1, 106 - 1, 4 - 1)/(OFFSET($A$1, 106 - 1, 4 - 1) + OFFSET($A$1, 106 - 1, 5 - 1)))</f>
        <v>0.84426229508196726</v>
      </c>
      <c r="AY118" s="7">
        <v>0</v>
      </c>
      <c r="AZ118" s="7" t="str">
        <f>"0"</f>
        <v>0</v>
      </c>
      <c r="BA118" t="str">
        <f ca="1">IF((OFFSET($A$1, 118 - 1, 51 - 1)) &gt;= (OFFSET($A$1, 77 - 1, 7 - 1)), "1","0")</f>
        <v>0</v>
      </c>
      <c r="BB118">
        <f ca="1" xml:space="preserve"> IF( AND( OFFSET($A$1, 118 - 1, 52 - 1) = "1", OFFSET($A$1, 118 - 1, 53 - 1) = "1" ), 1, IF( AND( OFFSET($A$1, 118 - 1, 52 - 1) = "1", OFFSET($A$1, 118 - 1, 53 - 1) = "0" ), 2, IF( AND( OFFSET($A$1, 118 - 1, 52 - 1) = "0", OFFSET($A$1, 118 - 1, 53 - 1) = "1" ), 3, 4 ) ) )</f>
        <v>4</v>
      </c>
      <c r="BD118" s="7">
        <v>0</v>
      </c>
      <c r="BE118" s="7" t="str">
        <f>"0"</f>
        <v>0</v>
      </c>
      <c r="BF118" t="str">
        <f ca="1">IF((OFFSET($A$1, 118 - 1, 56 - 1)) &gt;= (OFFSET($A$1, 101 - 1, 7 - 1)), "1","0")</f>
        <v>0</v>
      </c>
      <c r="BG118">
        <f ca="1" xml:space="preserve"> IF( AND( OFFSET($A$1, 118 - 1, 57 - 1) = "1", OFFSET($A$1, 118 - 1, 58 - 1) = "1" ), 1, IF( AND( OFFSET($A$1, 118 - 1, 57 - 1) = "1", OFFSET($A$1, 118 - 1, 58 - 1) = "0" ), 2, IF( AND( OFFSET($A$1, 118 - 1, 57 - 1) = "0", OFFSET($A$1, 118 - 1, 58 - 1) = "1" ), 3, 4 ) ) )</f>
        <v>4</v>
      </c>
    </row>
    <row r="119" spans="3:59" x14ac:dyDescent="0.25">
      <c r="C119" s="14" t="s">
        <v>136</v>
      </c>
      <c r="D119" s="16"/>
      <c r="E119" s="26">
        <f ca="1">IF((OFFSET($A$1, 107 - 1, 4 - 1) + OFFSET($A$1, 107 - 1, 5 - 1)) = 0,"Undefined",OFFSET($A$1, 107 - 1, 5 - 1)/(OFFSET($A$1, 107 - 1, 4 - 1) + OFFSET($A$1, 107 - 1, 5 - 1)))</f>
        <v>0.93165467625899279</v>
      </c>
      <c r="AY119" s="7">
        <v>0.23529411764705882</v>
      </c>
      <c r="AZ119" s="7" t="str">
        <f>"1"</f>
        <v>1</v>
      </c>
      <c r="BA119" t="str">
        <f ca="1">IF((OFFSET($A$1, 119 - 1, 51 - 1)) &gt;= (OFFSET($A$1, 77 - 1, 7 - 1)), "1","0")</f>
        <v>0</v>
      </c>
      <c r="BB119">
        <f ca="1" xml:space="preserve"> IF( AND( OFFSET($A$1, 119 - 1, 52 - 1) = "1", OFFSET($A$1, 119 - 1, 53 - 1) = "1" ), 1, IF( AND( OFFSET($A$1, 119 - 1, 52 - 1) = "1", OFFSET($A$1, 119 - 1, 53 - 1) = "0" ), 2, IF( AND( OFFSET($A$1, 119 - 1, 52 - 1) = "0", OFFSET($A$1, 119 - 1, 53 - 1) = "1" ), 3, 4 ) ) )</f>
        <v>2</v>
      </c>
      <c r="BD119" s="7">
        <v>5.8823529411764705E-2</v>
      </c>
      <c r="BE119" s="7" t="str">
        <f>"0"</f>
        <v>0</v>
      </c>
      <c r="BF119" t="str">
        <f ca="1">IF((OFFSET($A$1, 119 - 1, 56 - 1)) &gt;= (OFFSET($A$1, 101 - 1, 7 - 1)), "1","0")</f>
        <v>0</v>
      </c>
      <c r="BG119">
        <f ca="1" xml:space="preserve"> IF( AND( OFFSET($A$1, 119 - 1, 57 - 1) = "1", OFFSET($A$1, 119 - 1, 58 - 1) = "1" ), 1, IF( AND( OFFSET($A$1, 119 - 1, 57 - 1) = "1", OFFSET($A$1, 119 - 1, 58 - 1) = "0" ), 2, IF( AND( OFFSET($A$1, 119 - 1, 57 - 1) = "0", OFFSET($A$1, 119 - 1, 58 - 1) = "1" ), 3, 4 ) ) )</f>
        <v>4</v>
      </c>
    </row>
    <row r="120" spans="3:59" x14ac:dyDescent="0.25">
      <c r="C120" s="14" t="s">
        <v>137</v>
      </c>
      <c r="D120" s="16"/>
      <c r="E120" s="26">
        <f ca="1">IF(OR(OFFSET($A$1, 117 - 1, 5 - 1)="Undefined",OFFSET($A$1, 118 - 1, 5 - 1)="Undefined"),"Undefined",IF((OFFSET($A$1, 117 - 1, 5 - 1) + OFFSET($A$1, 118 - 1, 5 - 1))=0,"Undefined",2*OFFSET($A$1, 117 - 1, 5 - 1)*OFFSET($A$1, 118 - 1, 5 - 1)/(OFFSET($A$1, 117 - 1, 5 - 1)+OFFSET($A$1, 118 - 1, 5 - 1))))</f>
        <v>0.84426229508196726</v>
      </c>
      <c r="AY120" s="7">
        <v>1</v>
      </c>
      <c r="AZ120" s="7" t="str">
        <f>"1"</f>
        <v>1</v>
      </c>
      <c r="BA120" t="str">
        <f ca="1">IF((OFFSET($A$1, 120 - 1, 51 - 1)) &gt;= (OFFSET($A$1, 77 - 1, 7 - 1)), "1","0")</f>
        <v>1</v>
      </c>
      <c r="BB120">
        <f ca="1" xml:space="preserve"> IF( AND( OFFSET($A$1, 120 - 1, 52 - 1) = "1", OFFSET($A$1, 120 - 1, 53 - 1) = "1" ), 1, IF( AND( OFFSET($A$1, 120 - 1, 52 - 1) = "1", OFFSET($A$1, 120 - 1, 53 - 1) = "0" ), 2, IF( AND( OFFSET($A$1, 120 - 1, 52 - 1) = "0", OFFSET($A$1, 120 - 1, 53 - 1) = "1" ), 3, 4 ) ) )</f>
        <v>1</v>
      </c>
      <c r="BD120" s="7">
        <v>0</v>
      </c>
      <c r="BE120" s="7" t="str">
        <f>"0"</f>
        <v>0</v>
      </c>
      <c r="BF120" t="str">
        <f ca="1">IF((OFFSET($A$1, 120 - 1, 56 - 1)) &gt;= (OFFSET($A$1, 101 - 1, 7 - 1)), "1","0")</f>
        <v>0</v>
      </c>
      <c r="BG120">
        <f ca="1" xml:space="preserve"> IF( AND( OFFSET($A$1, 120 - 1, 57 - 1) = "1", OFFSET($A$1, 120 - 1, 58 - 1) = "1" ), 1, IF( AND( OFFSET($A$1, 120 - 1, 57 - 1) = "1", OFFSET($A$1, 120 - 1, 58 - 1) = "0" ), 2, IF( AND( OFFSET($A$1, 120 - 1, 57 - 1) = "0", OFFSET($A$1, 120 - 1, 58 - 1) = "1" ), 3, 4 ) ) )</f>
        <v>4</v>
      </c>
    </row>
    <row r="121" spans="3:59" x14ac:dyDescent="0.25">
      <c r="AY121" s="7">
        <v>1</v>
      </c>
      <c r="AZ121" s="7" t="str">
        <f>"1"</f>
        <v>1</v>
      </c>
      <c r="BA121" t="str">
        <f ca="1">IF((OFFSET($A$1, 121 - 1, 51 - 1)) &gt;= (OFFSET($A$1, 77 - 1, 7 - 1)), "1","0")</f>
        <v>1</v>
      </c>
      <c r="BB121">
        <f ca="1" xml:space="preserve"> IF( AND( OFFSET($A$1, 121 - 1, 52 - 1) = "1", OFFSET($A$1, 121 - 1, 53 - 1) = "1" ), 1, IF( AND( OFFSET($A$1, 121 - 1, 52 - 1) = "1", OFFSET($A$1, 121 - 1, 53 - 1) = "0" ), 2, IF( AND( OFFSET($A$1, 121 - 1, 52 - 1) = "0", OFFSET($A$1, 121 - 1, 53 - 1) = "1" ), 3, 4 ) ) )</f>
        <v>1</v>
      </c>
      <c r="BD121" s="7">
        <v>0</v>
      </c>
      <c r="BE121" s="7" t="str">
        <f>"0"</f>
        <v>0</v>
      </c>
      <c r="BF121" t="str">
        <f ca="1">IF((OFFSET($A$1, 121 - 1, 56 - 1)) &gt;= (OFFSET($A$1, 101 - 1, 7 - 1)), "1","0")</f>
        <v>0</v>
      </c>
      <c r="BG121">
        <f ca="1" xml:space="preserve"> IF( AND( OFFSET($A$1, 121 - 1, 57 - 1) = "1", OFFSET($A$1, 121 - 1, 58 - 1) = "1" ), 1, IF( AND( OFFSET($A$1, 121 - 1, 57 - 1) = "1", OFFSET($A$1, 121 - 1, 58 - 1) = "0" ), 2, IF( AND( OFFSET($A$1, 121 - 1, 57 - 1) = "0", OFFSET($A$1, 121 - 1, 58 - 1) = "1" ), 3, 4 ) ) )</f>
        <v>4</v>
      </c>
    </row>
    <row r="122" spans="3:59" x14ac:dyDescent="0.25">
      <c r="AY122" s="7">
        <v>0.94117647058823528</v>
      </c>
      <c r="AZ122" s="7" t="str">
        <f>"1"</f>
        <v>1</v>
      </c>
      <c r="BA122" t="str">
        <f ca="1">IF((OFFSET($A$1, 122 - 1, 51 - 1)) &gt;= (OFFSET($A$1, 77 - 1, 7 - 1)), "1","0")</f>
        <v>1</v>
      </c>
      <c r="BB122">
        <f ca="1" xml:space="preserve"> IF( AND( OFFSET($A$1, 122 - 1, 52 - 1) = "1", OFFSET($A$1, 122 - 1, 53 - 1) = "1" ), 1, IF( AND( OFFSET($A$1, 122 - 1, 52 - 1) = "1", OFFSET($A$1, 122 - 1, 53 - 1) = "0" ), 2, IF( AND( OFFSET($A$1, 122 - 1, 52 - 1) = "0", OFFSET($A$1, 122 - 1, 53 - 1) = "1" ), 3, 4 ) ) )</f>
        <v>1</v>
      </c>
      <c r="BD122" s="7">
        <v>5.8823529411764705E-2</v>
      </c>
      <c r="BE122" s="7" t="str">
        <f>"0"</f>
        <v>0</v>
      </c>
      <c r="BF122" t="str">
        <f ca="1">IF((OFFSET($A$1, 122 - 1, 56 - 1)) &gt;= (OFFSET($A$1, 101 - 1, 7 - 1)), "1","0")</f>
        <v>0</v>
      </c>
      <c r="BG122">
        <f ca="1" xml:space="preserve"> IF( AND( OFFSET($A$1, 122 - 1, 57 - 1) = "1", OFFSET($A$1, 122 - 1, 58 - 1) = "1" ), 1, IF( AND( OFFSET($A$1, 122 - 1, 57 - 1) = "1", OFFSET($A$1, 122 - 1, 58 - 1) = "0" ), 2, IF( AND( OFFSET($A$1, 122 - 1, 57 - 1) = "0", OFFSET($A$1, 122 - 1, 58 - 1) = "1" ), 3, 4 ) ) )</f>
        <v>4</v>
      </c>
    </row>
    <row r="123" spans="3:59" x14ac:dyDescent="0.25">
      <c r="AY123" s="7">
        <v>1</v>
      </c>
      <c r="AZ123" s="7" t="str">
        <f>"1"</f>
        <v>1</v>
      </c>
      <c r="BA123" t="str">
        <f ca="1">IF((OFFSET($A$1, 123 - 1, 51 - 1)) &gt;= (OFFSET($A$1, 77 - 1, 7 - 1)), "1","0")</f>
        <v>1</v>
      </c>
      <c r="BB123">
        <f ca="1" xml:space="preserve"> IF( AND( OFFSET($A$1, 123 - 1, 52 - 1) = "1", OFFSET($A$1, 123 - 1, 53 - 1) = "1" ), 1, IF( AND( OFFSET($A$1, 123 - 1, 52 - 1) = "1", OFFSET($A$1, 123 - 1, 53 - 1) = "0" ), 2, IF( AND( OFFSET($A$1, 123 - 1, 52 - 1) = "0", OFFSET($A$1, 123 - 1, 53 - 1) = "1" ), 3, 4 ) ) )</f>
        <v>1</v>
      </c>
      <c r="BD123" s="7">
        <v>0.82352941176470584</v>
      </c>
      <c r="BE123" s="7" t="str">
        <f>"1"</f>
        <v>1</v>
      </c>
      <c r="BF123" t="str">
        <f ca="1">IF((OFFSET($A$1, 123 - 1, 56 - 1)) &gt;= (OFFSET($A$1, 101 - 1, 7 - 1)), "1","0")</f>
        <v>1</v>
      </c>
      <c r="BG123">
        <f ca="1" xml:space="preserve"> IF( AND( OFFSET($A$1, 123 - 1, 57 - 1) = "1", OFFSET($A$1, 123 - 1, 58 - 1) = "1" ), 1, IF( AND( OFFSET($A$1, 123 - 1, 57 - 1) = "1", OFFSET($A$1, 123 - 1, 58 - 1) = "0" ), 2, IF( AND( OFFSET($A$1, 123 - 1, 57 - 1) = "0", OFFSET($A$1, 123 - 1, 58 - 1) = "1" ), 3, 4 ) ) )</f>
        <v>1</v>
      </c>
    </row>
    <row r="124" spans="3:59" x14ac:dyDescent="0.25">
      <c r="AY124" s="7">
        <v>1</v>
      </c>
      <c r="AZ124" s="7" t="str">
        <f>"1"</f>
        <v>1</v>
      </c>
      <c r="BA124" t="str">
        <f ca="1">IF((OFFSET($A$1, 124 - 1, 51 - 1)) &gt;= (OFFSET($A$1, 77 - 1, 7 - 1)), "1","0")</f>
        <v>1</v>
      </c>
      <c r="BB124">
        <f ca="1" xml:space="preserve"> IF( AND( OFFSET($A$1, 124 - 1, 52 - 1) = "1", OFFSET($A$1, 124 - 1, 53 - 1) = "1" ), 1, IF( AND( OFFSET($A$1, 124 - 1, 52 - 1) = "1", OFFSET($A$1, 124 - 1, 53 - 1) = "0" ), 2, IF( AND( OFFSET($A$1, 124 - 1, 52 - 1) = "0", OFFSET($A$1, 124 - 1, 53 - 1) = "1" ), 3, 4 ) ) )</f>
        <v>1</v>
      </c>
      <c r="BD124" s="7">
        <v>0.29411764705882354</v>
      </c>
      <c r="BE124" s="7" t="str">
        <f>"0"</f>
        <v>0</v>
      </c>
      <c r="BF124" t="str">
        <f ca="1">IF((OFFSET($A$1, 124 - 1, 56 - 1)) &gt;= (OFFSET($A$1, 101 - 1, 7 - 1)), "1","0")</f>
        <v>0</v>
      </c>
      <c r="BG124">
        <f ca="1" xml:space="preserve"> IF( AND( OFFSET($A$1, 124 - 1, 57 - 1) = "1", OFFSET($A$1, 124 - 1, 58 - 1) = "1" ), 1, IF( AND( OFFSET($A$1, 124 - 1, 57 - 1) = "1", OFFSET($A$1, 124 - 1, 58 - 1) = "0" ), 2, IF( AND( OFFSET($A$1, 124 - 1, 57 - 1) = "0", OFFSET($A$1, 124 - 1, 58 - 1) = "1" ), 3, 4 ) ) )</f>
        <v>4</v>
      </c>
    </row>
    <row r="125" spans="3:59" x14ac:dyDescent="0.25">
      <c r="AY125" s="7">
        <v>0.23529411764705882</v>
      </c>
      <c r="AZ125" s="7" t="str">
        <f>"0"</f>
        <v>0</v>
      </c>
      <c r="BA125" t="str">
        <f ca="1">IF((OFFSET($A$1, 125 - 1, 51 - 1)) &gt;= (OFFSET($A$1, 77 - 1, 7 - 1)), "1","0")</f>
        <v>0</v>
      </c>
      <c r="BB125">
        <f ca="1" xml:space="preserve"> IF( AND( OFFSET($A$1, 125 - 1, 52 - 1) = "1", OFFSET($A$1, 125 - 1, 53 - 1) = "1" ), 1, IF( AND( OFFSET($A$1, 125 - 1, 52 - 1) = "1", OFFSET($A$1, 125 - 1, 53 - 1) = "0" ), 2, IF( AND( OFFSET($A$1, 125 - 1, 52 - 1) = "0", OFFSET($A$1, 125 - 1, 53 - 1) = "1" ), 3, 4 ) ) )</f>
        <v>4</v>
      </c>
      <c r="BD125" s="7">
        <v>0.23529411764705882</v>
      </c>
      <c r="BE125" s="7" t="str">
        <f>"1"</f>
        <v>1</v>
      </c>
      <c r="BF125" t="str">
        <f ca="1">IF((OFFSET($A$1, 125 - 1, 56 - 1)) &gt;= (OFFSET($A$1, 101 - 1, 7 - 1)), "1","0")</f>
        <v>0</v>
      </c>
      <c r="BG125">
        <f ca="1" xml:space="preserve"> IF( AND( OFFSET($A$1, 125 - 1, 57 - 1) = "1", OFFSET($A$1, 125 - 1, 58 - 1) = "1" ), 1, IF( AND( OFFSET($A$1, 125 - 1, 57 - 1) = "1", OFFSET($A$1, 125 - 1, 58 - 1) = "0" ), 2, IF( AND( OFFSET($A$1, 125 - 1, 57 - 1) = "0", OFFSET($A$1, 125 - 1, 58 - 1) = "1" ), 3, 4 ) ) )</f>
        <v>2</v>
      </c>
    </row>
    <row r="126" spans="3:59" x14ac:dyDescent="0.25">
      <c r="AY126" s="7">
        <v>0</v>
      </c>
      <c r="AZ126" s="7" t="str">
        <f>"0"</f>
        <v>0</v>
      </c>
      <c r="BA126" t="str">
        <f ca="1">IF((OFFSET($A$1, 126 - 1, 51 - 1)) &gt;= (OFFSET($A$1, 77 - 1, 7 - 1)), "1","0")</f>
        <v>0</v>
      </c>
      <c r="BB126">
        <f ca="1" xml:space="preserve"> IF( AND( OFFSET($A$1, 126 - 1, 52 - 1) = "1", OFFSET($A$1, 126 - 1, 53 - 1) = "1" ), 1, IF( AND( OFFSET($A$1, 126 - 1, 52 - 1) = "1", OFFSET($A$1, 126 - 1, 53 - 1) = "0" ), 2, IF( AND( OFFSET($A$1, 126 - 1, 52 - 1) = "0", OFFSET($A$1, 126 - 1, 53 - 1) = "1" ), 3, 4 ) ) )</f>
        <v>4</v>
      </c>
      <c r="BD126" s="7">
        <v>1</v>
      </c>
      <c r="BE126" s="7" t="str">
        <f>"1"</f>
        <v>1</v>
      </c>
      <c r="BF126" t="str">
        <f ca="1">IF((OFFSET($A$1, 126 - 1, 56 - 1)) &gt;= (OFFSET($A$1, 101 - 1, 7 - 1)), "1","0")</f>
        <v>1</v>
      </c>
      <c r="BG126">
        <f ca="1" xml:space="preserve"> IF( AND( OFFSET($A$1, 126 - 1, 57 - 1) = "1", OFFSET($A$1, 126 - 1, 58 - 1) = "1" ), 1, IF( AND( OFFSET($A$1, 126 - 1, 57 - 1) = "1", OFFSET($A$1, 126 - 1, 58 - 1) = "0" ), 2, IF( AND( OFFSET($A$1, 126 - 1, 57 - 1) = "0", OFFSET($A$1, 126 - 1, 58 - 1) = "1" ), 3, 4 ) ) )</f>
        <v>1</v>
      </c>
    </row>
    <row r="127" spans="3:59" x14ac:dyDescent="0.25">
      <c r="AY127" s="7">
        <v>0</v>
      </c>
      <c r="AZ127" s="7" t="str">
        <f>"0"</f>
        <v>0</v>
      </c>
      <c r="BA127" t="str">
        <f ca="1">IF((OFFSET($A$1, 127 - 1, 51 - 1)) &gt;= (OFFSET($A$1, 77 - 1, 7 - 1)), "1","0")</f>
        <v>0</v>
      </c>
      <c r="BB127">
        <f ca="1" xml:space="preserve"> IF( AND( OFFSET($A$1, 127 - 1, 52 - 1) = "1", OFFSET($A$1, 127 - 1, 53 - 1) = "1" ), 1, IF( AND( OFFSET($A$1, 127 - 1, 52 - 1) = "1", OFFSET($A$1, 127 - 1, 53 - 1) = "0" ), 2, IF( AND( OFFSET($A$1, 127 - 1, 52 - 1) = "0", OFFSET($A$1, 127 - 1, 53 - 1) = "1" ), 3, 4 ) ) )</f>
        <v>4</v>
      </c>
      <c r="BD127" s="7">
        <v>0.82352941176470584</v>
      </c>
      <c r="BE127" s="7" t="str">
        <f>"0"</f>
        <v>0</v>
      </c>
      <c r="BF127" t="str">
        <f ca="1">IF((OFFSET($A$1, 127 - 1, 56 - 1)) &gt;= (OFFSET($A$1, 101 - 1, 7 - 1)), "1","0")</f>
        <v>1</v>
      </c>
      <c r="BG127">
        <f ca="1" xml:space="preserve"> IF( AND( OFFSET($A$1, 127 - 1, 57 - 1) = "1", OFFSET($A$1, 127 - 1, 58 - 1) = "1" ), 1, IF( AND( OFFSET($A$1, 127 - 1, 57 - 1) = "1", OFFSET($A$1, 127 - 1, 58 - 1) = "0" ), 2, IF( AND( OFFSET($A$1, 127 - 1, 57 - 1) = "0", OFFSET($A$1, 127 - 1, 58 - 1) = "1" ), 3, 4 ) ) )</f>
        <v>3</v>
      </c>
    </row>
    <row r="128" spans="3:59" x14ac:dyDescent="0.25">
      <c r="AY128" s="7">
        <v>0</v>
      </c>
      <c r="AZ128" s="7" t="str">
        <f>"0"</f>
        <v>0</v>
      </c>
      <c r="BA128" t="str">
        <f ca="1">IF((OFFSET($A$1, 128 - 1, 51 - 1)) &gt;= (OFFSET($A$1, 77 - 1, 7 - 1)), "1","0")</f>
        <v>0</v>
      </c>
      <c r="BB128">
        <f ca="1" xml:space="preserve"> IF( AND( OFFSET($A$1, 128 - 1, 52 - 1) = "1", OFFSET($A$1, 128 - 1, 53 - 1) = "1" ), 1, IF( AND( OFFSET($A$1, 128 - 1, 52 - 1) = "1", OFFSET($A$1, 128 - 1, 53 - 1) = "0" ), 2, IF( AND( OFFSET($A$1, 128 - 1, 52 - 1) = "0", OFFSET($A$1, 128 - 1, 53 - 1) = "1" ), 3, 4 ) ) )</f>
        <v>4</v>
      </c>
      <c r="BD128" s="7">
        <v>1</v>
      </c>
      <c r="BE128" s="7" t="str">
        <f>"1"</f>
        <v>1</v>
      </c>
      <c r="BF128" t="str">
        <f ca="1">IF((OFFSET($A$1, 128 - 1, 56 - 1)) &gt;= (OFFSET($A$1, 101 - 1, 7 - 1)), "1","0")</f>
        <v>1</v>
      </c>
      <c r="BG128">
        <f ca="1" xml:space="preserve"> IF( AND( OFFSET($A$1, 128 - 1, 57 - 1) = "1", OFFSET($A$1, 128 - 1, 58 - 1) = "1" ), 1, IF( AND( OFFSET($A$1, 128 - 1, 57 - 1) = "1", OFFSET($A$1, 128 - 1, 58 - 1) = "0" ), 2, IF( AND( OFFSET($A$1, 128 - 1, 57 - 1) = "0", OFFSET($A$1, 128 - 1, 58 - 1) = "1" ), 3, 4 ) ) )</f>
        <v>1</v>
      </c>
    </row>
    <row r="129" spans="51:59" x14ac:dyDescent="0.25">
      <c r="AY129" s="7">
        <v>0.70588235294117652</v>
      </c>
      <c r="AZ129" s="7" t="str">
        <f>"0"</f>
        <v>0</v>
      </c>
      <c r="BA129" t="str">
        <f ca="1">IF((OFFSET($A$1, 129 - 1, 51 - 1)) &gt;= (OFFSET($A$1, 77 - 1, 7 - 1)), "1","0")</f>
        <v>1</v>
      </c>
      <c r="BB129">
        <f ca="1" xml:space="preserve"> IF( AND( OFFSET($A$1, 129 - 1, 52 - 1) = "1", OFFSET($A$1, 129 - 1, 53 - 1) = "1" ), 1, IF( AND( OFFSET($A$1, 129 - 1, 52 - 1) = "1", OFFSET($A$1, 129 - 1, 53 - 1) = "0" ), 2, IF( AND( OFFSET($A$1, 129 - 1, 52 - 1) = "0", OFFSET($A$1, 129 - 1, 53 - 1) = "1" ), 3, 4 ) ) )</f>
        <v>3</v>
      </c>
      <c r="BD129" s="7">
        <v>0.29411764705882354</v>
      </c>
      <c r="BE129" s="7" t="str">
        <f>"0"</f>
        <v>0</v>
      </c>
      <c r="BF129" t="str">
        <f ca="1">IF((OFFSET($A$1, 129 - 1, 56 - 1)) &gt;= (OFFSET($A$1, 101 - 1, 7 - 1)), "1","0")</f>
        <v>0</v>
      </c>
      <c r="BG129">
        <f ca="1" xml:space="preserve"> IF( AND( OFFSET($A$1, 129 - 1, 57 - 1) = "1", OFFSET($A$1, 129 - 1, 58 - 1) = "1" ), 1, IF( AND( OFFSET($A$1, 129 - 1, 57 - 1) = "1", OFFSET($A$1, 129 - 1, 58 - 1) = "0" ), 2, IF( AND( OFFSET($A$1, 129 - 1, 57 - 1) = "0", OFFSET($A$1, 129 - 1, 58 - 1) = "1" ), 3, 4 ) ) )</f>
        <v>4</v>
      </c>
    </row>
    <row r="130" spans="51:59" x14ac:dyDescent="0.25">
      <c r="AY130" s="7">
        <v>0.94117647058823528</v>
      </c>
      <c r="AZ130" s="7" t="str">
        <f>"1"</f>
        <v>1</v>
      </c>
      <c r="BA130" t="str">
        <f ca="1">IF((OFFSET($A$1, 130 - 1, 51 - 1)) &gt;= (OFFSET($A$1, 77 - 1, 7 - 1)), "1","0")</f>
        <v>1</v>
      </c>
      <c r="BB130">
        <f ca="1" xml:space="preserve"> IF( AND( OFFSET($A$1, 130 - 1, 52 - 1) = "1", OFFSET($A$1, 130 - 1, 53 - 1) = "1" ), 1, IF( AND( OFFSET($A$1, 130 - 1, 52 - 1) = "1", OFFSET($A$1, 130 - 1, 53 - 1) = "0" ), 2, IF( AND( OFFSET($A$1, 130 - 1, 52 - 1) = "0", OFFSET($A$1, 130 - 1, 53 - 1) = "1" ), 3, 4 ) ) )</f>
        <v>1</v>
      </c>
      <c r="BD130" s="7">
        <v>0</v>
      </c>
      <c r="BE130" s="7" t="str">
        <f>"0"</f>
        <v>0</v>
      </c>
      <c r="BF130" t="str">
        <f ca="1">IF((OFFSET($A$1, 130 - 1, 56 - 1)) &gt;= (OFFSET($A$1, 101 - 1, 7 - 1)), "1","0")</f>
        <v>0</v>
      </c>
      <c r="BG130">
        <f ca="1" xml:space="preserve"> IF( AND( OFFSET($A$1, 130 - 1, 57 - 1) = "1", OFFSET($A$1, 130 - 1, 58 - 1) = "1" ), 1, IF( AND( OFFSET($A$1, 130 - 1, 57 - 1) = "1", OFFSET($A$1, 130 - 1, 58 - 1) = "0" ), 2, IF( AND( OFFSET($A$1, 130 - 1, 57 - 1) = "0", OFFSET($A$1, 130 - 1, 58 - 1) = "1" ), 3, 4 ) ) )</f>
        <v>4</v>
      </c>
    </row>
    <row r="131" spans="51:59" x14ac:dyDescent="0.25">
      <c r="AY131" s="7">
        <v>0</v>
      </c>
      <c r="AZ131" s="7" t="str">
        <f>"0"</f>
        <v>0</v>
      </c>
      <c r="BA131" t="str">
        <f ca="1">IF((OFFSET($A$1, 131 - 1, 51 - 1)) &gt;= (OFFSET($A$1, 77 - 1, 7 - 1)), "1","0")</f>
        <v>0</v>
      </c>
      <c r="BB131">
        <f ca="1" xml:space="preserve"> IF( AND( OFFSET($A$1, 131 - 1, 52 - 1) = "1", OFFSET($A$1, 131 - 1, 53 - 1) = "1" ), 1, IF( AND( OFFSET($A$1, 131 - 1, 52 - 1) = "1", OFFSET($A$1, 131 - 1, 53 - 1) = "0" ), 2, IF( AND( OFFSET($A$1, 131 - 1, 52 - 1) = "0", OFFSET($A$1, 131 - 1, 53 - 1) = "1" ), 3, 4 ) ) )</f>
        <v>4</v>
      </c>
      <c r="BD131" s="7">
        <v>0.94117647058823528</v>
      </c>
      <c r="BE131" s="7" t="str">
        <f>"1"</f>
        <v>1</v>
      </c>
      <c r="BF131" t="str">
        <f ca="1">IF((OFFSET($A$1, 131 - 1, 56 - 1)) &gt;= (OFFSET($A$1, 101 - 1, 7 - 1)), "1","0")</f>
        <v>1</v>
      </c>
      <c r="BG131">
        <f ca="1" xml:space="preserve"> IF( AND( OFFSET($A$1, 131 - 1, 57 - 1) = "1", OFFSET($A$1, 131 - 1, 58 - 1) = "1" ), 1, IF( AND( OFFSET($A$1, 131 - 1, 57 - 1) = "1", OFFSET($A$1, 131 - 1, 58 - 1) = "0" ), 2, IF( AND( OFFSET($A$1, 131 - 1, 57 - 1) = "0", OFFSET($A$1, 131 - 1, 58 - 1) = "1" ), 3, 4 ) ) )</f>
        <v>1</v>
      </c>
    </row>
    <row r="132" spans="51:59" x14ac:dyDescent="0.25">
      <c r="AY132" s="7">
        <v>0</v>
      </c>
      <c r="AZ132" s="7" t="str">
        <f>"0"</f>
        <v>0</v>
      </c>
      <c r="BA132" t="str">
        <f ca="1">IF((OFFSET($A$1, 132 - 1, 51 - 1)) &gt;= (OFFSET($A$1, 77 - 1, 7 - 1)), "1","0")</f>
        <v>0</v>
      </c>
      <c r="BB132">
        <f ca="1" xml:space="preserve"> IF( AND( OFFSET($A$1, 132 - 1, 52 - 1) = "1", OFFSET($A$1, 132 - 1, 53 - 1) = "1" ), 1, IF( AND( OFFSET($A$1, 132 - 1, 52 - 1) = "1", OFFSET($A$1, 132 - 1, 53 - 1) = "0" ), 2, IF( AND( OFFSET($A$1, 132 - 1, 52 - 1) = "0", OFFSET($A$1, 132 - 1, 53 - 1) = "1" ), 3, 4 ) ) )</f>
        <v>4</v>
      </c>
      <c r="BD132" s="7">
        <v>0.41176470588235292</v>
      </c>
      <c r="BE132" s="7" t="str">
        <f>"0"</f>
        <v>0</v>
      </c>
      <c r="BF132" t="str">
        <f ca="1">IF((OFFSET($A$1, 132 - 1, 56 - 1)) &gt;= (OFFSET($A$1, 101 - 1, 7 - 1)), "1","0")</f>
        <v>0</v>
      </c>
      <c r="BG132">
        <f ca="1" xml:space="preserve"> IF( AND( OFFSET($A$1, 132 - 1, 57 - 1) = "1", OFFSET($A$1, 132 - 1, 58 - 1) = "1" ), 1, IF( AND( OFFSET($A$1, 132 - 1, 57 - 1) = "1", OFFSET($A$1, 132 - 1, 58 - 1) = "0" ), 2, IF( AND( OFFSET($A$1, 132 - 1, 57 - 1) = "0", OFFSET($A$1, 132 - 1, 58 - 1) = "1" ), 3, 4 ) ) )</f>
        <v>4</v>
      </c>
    </row>
    <row r="133" spans="51:59" x14ac:dyDescent="0.25">
      <c r="AY133" s="7">
        <v>1</v>
      </c>
      <c r="AZ133" s="7" t="str">
        <f>"1"</f>
        <v>1</v>
      </c>
      <c r="BA133" t="str">
        <f ca="1">IF((OFFSET($A$1, 133 - 1, 51 - 1)) &gt;= (OFFSET($A$1, 77 - 1, 7 - 1)), "1","0")</f>
        <v>1</v>
      </c>
      <c r="BB133">
        <f ca="1" xml:space="preserve"> IF( AND( OFFSET($A$1, 133 - 1, 52 - 1) = "1", OFFSET($A$1, 133 - 1, 53 - 1) = "1" ), 1, IF( AND( OFFSET($A$1, 133 - 1, 52 - 1) = "1", OFFSET($A$1, 133 - 1, 53 - 1) = "0" ), 2, IF( AND( OFFSET($A$1, 133 - 1, 52 - 1) = "0", OFFSET($A$1, 133 - 1, 53 - 1) = "1" ), 3, 4 ) ) )</f>
        <v>1</v>
      </c>
      <c r="BD133" s="7">
        <v>0.94117647058823528</v>
      </c>
      <c r="BE133" s="7" t="str">
        <f>"1"</f>
        <v>1</v>
      </c>
      <c r="BF133" t="str">
        <f ca="1">IF((OFFSET($A$1, 133 - 1, 56 - 1)) &gt;= (OFFSET($A$1, 101 - 1, 7 - 1)), "1","0")</f>
        <v>1</v>
      </c>
      <c r="BG133">
        <f ca="1" xml:space="preserve"> IF( AND( OFFSET($A$1, 133 - 1, 57 - 1) = "1", OFFSET($A$1, 133 - 1, 58 - 1) = "1" ), 1, IF( AND( OFFSET($A$1, 133 - 1, 57 - 1) = "1", OFFSET($A$1, 133 - 1, 58 - 1) = "0" ), 2, IF( AND( OFFSET($A$1, 133 - 1, 57 - 1) = "0", OFFSET($A$1, 133 - 1, 58 - 1) = "1" ), 3, 4 ) ) )</f>
        <v>1</v>
      </c>
    </row>
    <row r="134" spans="51:59" x14ac:dyDescent="0.25">
      <c r="AY134" s="7">
        <v>5.8823529411764705E-2</v>
      </c>
      <c r="AZ134" s="7" t="str">
        <f>"0"</f>
        <v>0</v>
      </c>
      <c r="BA134" t="str">
        <f ca="1">IF((OFFSET($A$1, 134 - 1, 51 - 1)) &gt;= (OFFSET($A$1, 77 - 1, 7 - 1)), "1","0")</f>
        <v>0</v>
      </c>
      <c r="BB134">
        <f ca="1" xml:space="preserve"> IF( AND( OFFSET($A$1, 134 - 1, 52 - 1) = "1", OFFSET($A$1, 134 - 1, 53 - 1) = "1" ), 1, IF( AND( OFFSET($A$1, 134 - 1, 52 - 1) = "1", OFFSET($A$1, 134 - 1, 53 - 1) = "0" ), 2, IF( AND( OFFSET($A$1, 134 - 1, 52 - 1) = "0", OFFSET($A$1, 134 - 1, 53 - 1) = "1" ), 3, 4 ) ) )</f>
        <v>4</v>
      </c>
      <c r="BD134" s="7">
        <v>5.8823529411764705E-2</v>
      </c>
      <c r="BE134" s="7" t="str">
        <f>"0"</f>
        <v>0</v>
      </c>
      <c r="BF134" t="str">
        <f ca="1">IF((OFFSET($A$1, 134 - 1, 56 - 1)) &gt;= (OFFSET($A$1, 101 - 1, 7 - 1)), "1","0")</f>
        <v>0</v>
      </c>
      <c r="BG134">
        <f ca="1" xml:space="preserve"> IF( AND( OFFSET($A$1, 134 - 1, 57 - 1) = "1", OFFSET($A$1, 134 - 1, 58 - 1) = "1" ), 1, IF( AND( OFFSET($A$1, 134 - 1, 57 - 1) = "1", OFFSET($A$1, 134 - 1, 58 - 1) = "0" ), 2, IF( AND( OFFSET($A$1, 134 - 1, 57 - 1) = "0", OFFSET($A$1, 134 - 1, 58 - 1) = "1" ), 3, 4 ) ) )</f>
        <v>4</v>
      </c>
    </row>
    <row r="135" spans="51:59" x14ac:dyDescent="0.25">
      <c r="AY135" s="7">
        <v>0.23529411764705882</v>
      </c>
      <c r="AZ135" s="7" t="str">
        <f>"0"</f>
        <v>0</v>
      </c>
      <c r="BA135" t="str">
        <f ca="1">IF((OFFSET($A$1, 135 - 1, 51 - 1)) &gt;= (OFFSET($A$1, 77 - 1, 7 - 1)), "1","0")</f>
        <v>0</v>
      </c>
      <c r="BB135">
        <f ca="1" xml:space="preserve"> IF( AND( OFFSET($A$1, 135 - 1, 52 - 1) = "1", OFFSET($A$1, 135 - 1, 53 - 1) = "1" ), 1, IF( AND( OFFSET($A$1, 135 - 1, 52 - 1) = "1", OFFSET($A$1, 135 - 1, 53 - 1) = "0" ), 2, IF( AND( OFFSET($A$1, 135 - 1, 52 - 1) = "0", OFFSET($A$1, 135 - 1, 53 - 1) = "1" ), 3, 4 ) ) )</f>
        <v>4</v>
      </c>
      <c r="BD135" s="7">
        <v>0</v>
      </c>
      <c r="BE135" s="7" t="str">
        <f>"0"</f>
        <v>0</v>
      </c>
      <c r="BF135" t="str">
        <f ca="1">IF((OFFSET($A$1, 135 - 1, 56 - 1)) &gt;= (OFFSET($A$1, 101 - 1, 7 - 1)), "1","0")</f>
        <v>0</v>
      </c>
      <c r="BG135">
        <f ca="1" xml:space="preserve"> IF( AND( OFFSET($A$1, 135 - 1, 57 - 1) = "1", OFFSET($A$1, 135 - 1, 58 - 1) = "1" ), 1, IF( AND( OFFSET($A$1, 135 - 1, 57 - 1) = "1", OFFSET($A$1, 135 - 1, 58 - 1) = "0" ), 2, IF( AND( OFFSET($A$1, 135 - 1, 57 - 1) = "0", OFFSET($A$1, 135 - 1, 58 - 1) = "1" ), 3, 4 ) ) )</f>
        <v>4</v>
      </c>
    </row>
    <row r="136" spans="51:59" x14ac:dyDescent="0.25">
      <c r="AY136" s="7">
        <v>0.94117647058823528</v>
      </c>
      <c r="AZ136" s="7" t="str">
        <f>"1"</f>
        <v>1</v>
      </c>
      <c r="BA136" t="str">
        <f ca="1">IF((OFFSET($A$1, 136 - 1, 51 - 1)) &gt;= (OFFSET($A$1, 77 - 1, 7 - 1)), "1","0")</f>
        <v>1</v>
      </c>
      <c r="BB136">
        <f ca="1" xml:space="preserve"> IF( AND( OFFSET($A$1, 136 - 1, 52 - 1) = "1", OFFSET($A$1, 136 - 1, 53 - 1) = "1" ), 1, IF( AND( OFFSET($A$1, 136 - 1, 52 - 1) = "1", OFFSET($A$1, 136 - 1, 53 - 1) = "0" ), 2, IF( AND( OFFSET($A$1, 136 - 1, 52 - 1) = "0", OFFSET($A$1, 136 - 1, 53 - 1) = "1" ), 3, 4 ) ) )</f>
        <v>1</v>
      </c>
      <c r="BD136" s="7">
        <v>0</v>
      </c>
      <c r="BE136" s="7" t="str">
        <f>"0"</f>
        <v>0</v>
      </c>
      <c r="BF136" t="str">
        <f ca="1">IF((OFFSET($A$1, 136 - 1, 56 - 1)) &gt;= (OFFSET($A$1, 101 - 1, 7 - 1)), "1","0")</f>
        <v>0</v>
      </c>
      <c r="BG136">
        <f ca="1" xml:space="preserve"> IF( AND( OFFSET($A$1, 136 - 1, 57 - 1) = "1", OFFSET($A$1, 136 - 1, 58 - 1) = "1" ), 1, IF( AND( OFFSET($A$1, 136 - 1, 57 - 1) = "1", OFFSET($A$1, 136 - 1, 58 - 1) = "0" ), 2, IF( AND( OFFSET($A$1, 136 - 1, 57 - 1) = "0", OFFSET($A$1, 136 - 1, 58 - 1) = "1" ), 3, 4 ) ) )</f>
        <v>4</v>
      </c>
    </row>
    <row r="137" spans="51:59" x14ac:dyDescent="0.25">
      <c r="AY137" s="7">
        <v>0</v>
      </c>
      <c r="AZ137" s="7" t="str">
        <f>"0"</f>
        <v>0</v>
      </c>
      <c r="BA137" t="str">
        <f ca="1">IF((OFFSET($A$1, 137 - 1, 51 - 1)) &gt;= (OFFSET($A$1, 77 - 1, 7 - 1)), "1","0")</f>
        <v>0</v>
      </c>
      <c r="BB137">
        <f ca="1" xml:space="preserve"> IF( AND( OFFSET($A$1, 137 - 1, 52 - 1) = "1", OFFSET($A$1, 137 - 1, 53 - 1) = "1" ), 1, IF( AND( OFFSET($A$1, 137 - 1, 52 - 1) = "1", OFFSET($A$1, 137 - 1, 53 - 1) = "0" ), 2, IF( AND( OFFSET($A$1, 137 - 1, 52 - 1) = "0", OFFSET($A$1, 137 - 1, 53 - 1) = "1" ), 3, 4 ) ) )</f>
        <v>4</v>
      </c>
      <c r="BD137" s="7">
        <v>5.8823529411764705E-2</v>
      </c>
      <c r="BE137" s="7" t="str">
        <f>"0"</f>
        <v>0</v>
      </c>
      <c r="BF137" t="str">
        <f ca="1">IF((OFFSET($A$1, 137 - 1, 56 - 1)) &gt;= (OFFSET($A$1, 101 - 1, 7 - 1)), "1","0")</f>
        <v>0</v>
      </c>
      <c r="BG137">
        <f ca="1" xml:space="preserve"> IF( AND( OFFSET($A$1, 137 - 1, 57 - 1) = "1", OFFSET($A$1, 137 - 1, 58 - 1) = "1" ), 1, IF( AND( OFFSET($A$1, 137 - 1, 57 - 1) = "1", OFFSET($A$1, 137 - 1, 58 - 1) = "0" ), 2, IF( AND( OFFSET($A$1, 137 - 1, 57 - 1) = "0", OFFSET($A$1, 137 - 1, 58 - 1) = "1" ), 3, 4 ) ) )</f>
        <v>4</v>
      </c>
    </row>
    <row r="138" spans="51:59" x14ac:dyDescent="0.25">
      <c r="AY138" s="7">
        <v>0</v>
      </c>
      <c r="AZ138" s="7" t="str">
        <f>"0"</f>
        <v>0</v>
      </c>
      <c r="BA138" t="str">
        <f ca="1">IF((OFFSET($A$1, 138 - 1, 51 - 1)) &gt;= (OFFSET($A$1, 77 - 1, 7 - 1)), "1","0")</f>
        <v>0</v>
      </c>
      <c r="BB138">
        <f ca="1" xml:space="preserve"> IF( AND( OFFSET($A$1, 138 - 1, 52 - 1) = "1", OFFSET($A$1, 138 - 1, 53 - 1) = "1" ), 1, IF( AND( OFFSET($A$1, 138 - 1, 52 - 1) = "1", OFFSET($A$1, 138 - 1, 53 - 1) = "0" ), 2, IF( AND( OFFSET($A$1, 138 - 1, 52 - 1) = "0", OFFSET($A$1, 138 - 1, 53 - 1) = "1" ), 3, 4 ) ) )</f>
        <v>4</v>
      </c>
      <c r="BD138" s="7">
        <v>0.29411764705882354</v>
      </c>
      <c r="BE138" s="7" t="str">
        <f>"1"</f>
        <v>1</v>
      </c>
      <c r="BF138" t="str">
        <f ca="1">IF((OFFSET($A$1, 138 - 1, 56 - 1)) &gt;= (OFFSET($A$1, 101 - 1, 7 - 1)), "1","0")</f>
        <v>0</v>
      </c>
      <c r="BG138">
        <f ca="1" xml:space="preserve"> IF( AND( OFFSET($A$1, 138 - 1, 57 - 1) = "1", OFFSET($A$1, 138 - 1, 58 - 1) = "1" ), 1, IF( AND( OFFSET($A$1, 138 - 1, 57 - 1) = "1", OFFSET($A$1, 138 - 1, 58 - 1) = "0" ), 2, IF( AND( OFFSET($A$1, 138 - 1, 57 - 1) = "0", OFFSET($A$1, 138 - 1, 58 - 1) = "1" ), 3, 4 ) ) )</f>
        <v>2</v>
      </c>
    </row>
    <row r="139" spans="51:59" x14ac:dyDescent="0.25">
      <c r="AY139" s="7">
        <v>0</v>
      </c>
      <c r="AZ139" s="7" t="str">
        <f>"0"</f>
        <v>0</v>
      </c>
      <c r="BA139" t="str">
        <f ca="1">IF((OFFSET($A$1, 139 - 1, 51 - 1)) &gt;= (OFFSET($A$1, 77 - 1, 7 - 1)), "1","0")</f>
        <v>0</v>
      </c>
      <c r="BB139">
        <f ca="1" xml:space="preserve"> IF( AND( OFFSET($A$1, 139 - 1, 52 - 1) = "1", OFFSET($A$1, 139 - 1, 53 - 1) = "1" ), 1, IF( AND( OFFSET($A$1, 139 - 1, 52 - 1) = "1", OFFSET($A$1, 139 - 1, 53 - 1) = "0" ), 2, IF( AND( OFFSET($A$1, 139 - 1, 52 - 1) = "0", OFFSET($A$1, 139 - 1, 53 - 1) = "1" ), 3, 4 ) ) )</f>
        <v>4</v>
      </c>
      <c r="BD139" s="7">
        <v>1</v>
      </c>
      <c r="BE139" s="7" t="str">
        <f>"1"</f>
        <v>1</v>
      </c>
      <c r="BF139" t="str">
        <f ca="1">IF((OFFSET($A$1, 139 - 1, 56 - 1)) &gt;= (OFFSET($A$1, 101 - 1, 7 - 1)), "1","0")</f>
        <v>1</v>
      </c>
      <c r="BG139">
        <f ca="1" xml:space="preserve"> IF( AND( OFFSET($A$1, 139 - 1, 57 - 1) = "1", OFFSET($A$1, 139 - 1, 58 - 1) = "1" ), 1, IF( AND( OFFSET($A$1, 139 - 1, 57 - 1) = "1", OFFSET($A$1, 139 - 1, 58 - 1) = "0" ), 2, IF( AND( OFFSET($A$1, 139 - 1, 57 - 1) = "0", OFFSET($A$1, 139 - 1, 58 - 1) = "1" ), 3, 4 ) ) )</f>
        <v>1</v>
      </c>
    </row>
    <row r="140" spans="51:59" x14ac:dyDescent="0.25">
      <c r="AY140" s="7">
        <v>0</v>
      </c>
      <c r="AZ140" s="7" t="str">
        <f>"0"</f>
        <v>0</v>
      </c>
      <c r="BA140" t="str">
        <f ca="1">IF((OFFSET($A$1, 140 - 1, 51 - 1)) &gt;= (OFFSET($A$1, 77 - 1, 7 - 1)), "1","0")</f>
        <v>0</v>
      </c>
      <c r="BB140">
        <f ca="1" xml:space="preserve"> IF( AND( OFFSET($A$1, 140 - 1, 52 - 1) = "1", OFFSET($A$1, 140 - 1, 53 - 1) = "1" ), 1, IF( AND( OFFSET($A$1, 140 - 1, 52 - 1) = "1", OFFSET($A$1, 140 - 1, 53 - 1) = "0" ), 2, IF( AND( OFFSET($A$1, 140 - 1, 52 - 1) = "0", OFFSET($A$1, 140 - 1, 53 - 1) = "1" ), 3, 4 ) ) )</f>
        <v>4</v>
      </c>
      <c r="BD140" s="7">
        <v>0.82352941176470584</v>
      </c>
      <c r="BE140" s="7" t="str">
        <f>"0"</f>
        <v>0</v>
      </c>
      <c r="BF140" t="str">
        <f ca="1">IF((OFFSET($A$1, 140 - 1, 56 - 1)) &gt;= (OFFSET($A$1, 101 - 1, 7 - 1)), "1","0")</f>
        <v>1</v>
      </c>
      <c r="BG140">
        <f ca="1" xml:space="preserve"> IF( AND( OFFSET($A$1, 140 - 1, 57 - 1) = "1", OFFSET($A$1, 140 - 1, 58 - 1) = "1" ), 1, IF( AND( OFFSET($A$1, 140 - 1, 57 - 1) = "1", OFFSET($A$1, 140 - 1, 58 - 1) = "0" ), 2, IF( AND( OFFSET($A$1, 140 - 1, 57 - 1) = "0", OFFSET($A$1, 140 - 1, 58 - 1) = "1" ), 3, 4 ) ) )</f>
        <v>3</v>
      </c>
    </row>
    <row r="141" spans="51:59" x14ac:dyDescent="0.25">
      <c r="AY141" s="7">
        <v>0</v>
      </c>
      <c r="AZ141" s="7" t="str">
        <f>"0"</f>
        <v>0</v>
      </c>
      <c r="BA141" t="str">
        <f ca="1">IF((OFFSET($A$1, 141 - 1, 51 - 1)) &gt;= (OFFSET($A$1, 77 - 1, 7 - 1)), "1","0")</f>
        <v>0</v>
      </c>
      <c r="BB141">
        <f ca="1" xml:space="preserve"> IF( AND( OFFSET($A$1, 141 - 1, 52 - 1) = "1", OFFSET($A$1, 141 - 1, 53 - 1) = "1" ), 1, IF( AND( OFFSET($A$1, 141 - 1, 52 - 1) = "1", OFFSET($A$1, 141 - 1, 53 - 1) = "0" ), 2, IF( AND( OFFSET($A$1, 141 - 1, 52 - 1) = "0", OFFSET($A$1, 141 - 1, 53 - 1) = "1" ), 3, 4 ) ) )</f>
        <v>4</v>
      </c>
      <c r="BD141" s="7">
        <v>0</v>
      </c>
      <c r="BE141" s="7" t="str">
        <f>"0"</f>
        <v>0</v>
      </c>
      <c r="BF141" t="str">
        <f ca="1">IF((OFFSET($A$1, 141 - 1, 56 - 1)) &gt;= (OFFSET($A$1, 101 - 1, 7 - 1)), "1","0")</f>
        <v>0</v>
      </c>
      <c r="BG141">
        <f ca="1" xml:space="preserve"> IF( AND( OFFSET($A$1, 141 - 1, 57 - 1) = "1", OFFSET($A$1, 141 - 1, 58 - 1) = "1" ), 1, IF( AND( OFFSET($A$1, 141 - 1, 57 - 1) = "1", OFFSET($A$1, 141 - 1, 58 - 1) = "0" ), 2, IF( AND( OFFSET($A$1, 141 - 1, 57 - 1) = "0", OFFSET($A$1, 141 - 1, 58 - 1) = "1" ), 3, 4 ) ) )</f>
        <v>4</v>
      </c>
    </row>
    <row r="142" spans="51:59" x14ac:dyDescent="0.25">
      <c r="AY142" s="7">
        <v>0</v>
      </c>
      <c r="AZ142" s="7" t="str">
        <f>"0"</f>
        <v>0</v>
      </c>
      <c r="BA142" t="str">
        <f ca="1">IF((OFFSET($A$1, 142 - 1, 51 - 1)) &gt;= (OFFSET($A$1, 77 - 1, 7 - 1)), "1","0")</f>
        <v>0</v>
      </c>
      <c r="BB142">
        <f ca="1" xml:space="preserve"> IF( AND( OFFSET($A$1, 142 - 1, 52 - 1) = "1", OFFSET($A$1, 142 - 1, 53 - 1) = "1" ), 1, IF( AND( OFFSET($A$1, 142 - 1, 52 - 1) = "1", OFFSET($A$1, 142 - 1, 53 - 1) = "0" ), 2, IF( AND( OFFSET($A$1, 142 - 1, 52 - 1) = "0", OFFSET($A$1, 142 - 1, 53 - 1) = "1" ), 3, 4 ) ) )</f>
        <v>4</v>
      </c>
      <c r="BD142" s="7">
        <v>5.8823529411764705E-2</v>
      </c>
      <c r="BE142" s="7" t="str">
        <f>"0"</f>
        <v>0</v>
      </c>
      <c r="BF142" t="str">
        <f ca="1">IF((OFFSET($A$1, 142 - 1, 56 - 1)) &gt;= (OFFSET($A$1, 101 - 1, 7 - 1)), "1","0")</f>
        <v>0</v>
      </c>
      <c r="BG142">
        <f ca="1" xml:space="preserve"> IF( AND( OFFSET($A$1, 142 - 1, 57 - 1) = "1", OFFSET($A$1, 142 - 1, 58 - 1) = "1" ), 1, IF( AND( OFFSET($A$1, 142 - 1, 57 - 1) = "1", OFFSET($A$1, 142 - 1, 58 - 1) = "0" ), 2, IF( AND( OFFSET($A$1, 142 - 1, 57 - 1) = "0", OFFSET($A$1, 142 - 1, 58 - 1) = "1" ), 3, 4 ) ) )</f>
        <v>4</v>
      </c>
    </row>
    <row r="143" spans="51:59" x14ac:dyDescent="0.25">
      <c r="AY143" s="7">
        <v>0</v>
      </c>
      <c r="AZ143" s="7" t="str">
        <f>"0"</f>
        <v>0</v>
      </c>
      <c r="BA143" t="str">
        <f ca="1">IF((OFFSET($A$1, 143 - 1, 51 - 1)) &gt;= (OFFSET($A$1, 77 - 1, 7 - 1)), "1","0")</f>
        <v>0</v>
      </c>
      <c r="BB143">
        <f ca="1" xml:space="preserve"> IF( AND( OFFSET($A$1, 143 - 1, 52 - 1) = "1", OFFSET($A$1, 143 - 1, 53 - 1) = "1" ), 1, IF( AND( OFFSET($A$1, 143 - 1, 52 - 1) = "1", OFFSET($A$1, 143 - 1, 53 - 1) = "0" ), 2, IF( AND( OFFSET($A$1, 143 - 1, 52 - 1) = "0", OFFSET($A$1, 143 - 1, 53 - 1) = "1" ), 3, 4 ) ) )</f>
        <v>4</v>
      </c>
      <c r="BD143" s="7">
        <v>0.94117647058823528</v>
      </c>
      <c r="BE143" s="7" t="str">
        <f>"1"</f>
        <v>1</v>
      </c>
      <c r="BF143" t="str">
        <f ca="1">IF((OFFSET($A$1, 143 - 1, 56 - 1)) &gt;= (OFFSET($A$1, 101 - 1, 7 - 1)), "1","0")</f>
        <v>1</v>
      </c>
      <c r="BG143">
        <f ca="1" xml:space="preserve"> IF( AND( OFFSET($A$1, 143 - 1, 57 - 1) = "1", OFFSET($A$1, 143 - 1, 58 - 1) = "1" ), 1, IF( AND( OFFSET($A$1, 143 - 1, 57 - 1) = "1", OFFSET($A$1, 143 - 1, 58 - 1) = "0" ), 2, IF( AND( OFFSET($A$1, 143 - 1, 57 - 1) = "0", OFFSET($A$1, 143 - 1, 58 - 1) = "1" ), 3, 4 ) ) )</f>
        <v>1</v>
      </c>
    </row>
    <row r="144" spans="51:59" x14ac:dyDescent="0.25">
      <c r="AY144" s="7">
        <v>0</v>
      </c>
      <c r="AZ144" s="7" t="str">
        <f>"0"</f>
        <v>0</v>
      </c>
      <c r="BA144" t="str">
        <f ca="1">IF((OFFSET($A$1, 144 - 1, 51 - 1)) &gt;= (OFFSET($A$1, 77 - 1, 7 - 1)), "1","0")</f>
        <v>0</v>
      </c>
      <c r="BB144">
        <f ca="1" xml:space="preserve"> IF( AND( OFFSET($A$1, 144 - 1, 52 - 1) = "1", OFFSET($A$1, 144 - 1, 53 - 1) = "1" ), 1, IF( AND( OFFSET($A$1, 144 - 1, 52 - 1) = "1", OFFSET($A$1, 144 - 1, 53 - 1) = "0" ), 2, IF( AND( OFFSET($A$1, 144 - 1, 52 - 1) = "0", OFFSET($A$1, 144 - 1, 53 - 1) = "1" ), 3, 4 ) ) )</f>
        <v>4</v>
      </c>
      <c r="BD144" s="7">
        <v>0</v>
      </c>
      <c r="BE144" s="7" t="str">
        <f>"0"</f>
        <v>0</v>
      </c>
      <c r="BF144" t="str">
        <f ca="1">IF((OFFSET($A$1, 144 - 1, 56 - 1)) &gt;= (OFFSET($A$1, 101 - 1, 7 - 1)), "1","0")</f>
        <v>0</v>
      </c>
      <c r="BG144">
        <f ca="1" xml:space="preserve"> IF( AND( OFFSET($A$1, 144 - 1, 57 - 1) = "1", OFFSET($A$1, 144 - 1, 58 - 1) = "1" ), 1, IF( AND( OFFSET($A$1, 144 - 1, 57 - 1) = "1", OFFSET($A$1, 144 - 1, 58 - 1) = "0" ), 2, IF( AND( OFFSET($A$1, 144 - 1, 57 - 1) = "0", OFFSET($A$1, 144 - 1, 58 - 1) = "1" ), 3, 4 ) ) )</f>
        <v>4</v>
      </c>
    </row>
    <row r="145" spans="51:59" x14ac:dyDescent="0.25">
      <c r="AY145" s="7">
        <v>1</v>
      </c>
      <c r="AZ145" s="7" t="str">
        <f>"1"</f>
        <v>1</v>
      </c>
      <c r="BA145" t="str">
        <f ca="1">IF((OFFSET($A$1, 145 - 1, 51 - 1)) &gt;= (OFFSET($A$1, 77 - 1, 7 - 1)), "1","0")</f>
        <v>1</v>
      </c>
      <c r="BB145">
        <f ca="1" xml:space="preserve"> IF( AND( OFFSET($A$1, 145 - 1, 52 - 1) = "1", OFFSET($A$1, 145 - 1, 53 - 1) = "1" ), 1, IF( AND( OFFSET($A$1, 145 - 1, 52 - 1) = "1", OFFSET($A$1, 145 - 1, 53 - 1) = "0" ), 2, IF( AND( OFFSET($A$1, 145 - 1, 52 - 1) = "0", OFFSET($A$1, 145 - 1, 53 - 1) = "1" ), 3, 4 ) ) )</f>
        <v>1</v>
      </c>
      <c r="BD145" s="7">
        <v>5.8823529411764705E-2</v>
      </c>
      <c r="BE145" s="7" t="str">
        <f>"0"</f>
        <v>0</v>
      </c>
      <c r="BF145" t="str">
        <f ca="1">IF((OFFSET($A$1, 145 - 1, 56 - 1)) &gt;= (OFFSET($A$1, 101 - 1, 7 - 1)), "1","0")</f>
        <v>0</v>
      </c>
      <c r="BG145">
        <f ca="1" xml:space="preserve"> IF( AND( OFFSET($A$1, 145 - 1, 57 - 1) = "1", OFFSET($A$1, 145 - 1, 58 - 1) = "1" ), 1, IF( AND( OFFSET($A$1, 145 - 1, 57 - 1) = "1", OFFSET($A$1, 145 - 1, 58 - 1) = "0" ), 2, IF( AND( OFFSET($A$1, 145 - 1, 57 - 1) = "0", OFFSET($A$1, 145 - 1, 58 - 1) = "1" ), 3, 4 ) ) )</f>
        <v>4</v>
      </c>
    </row>
    <row r="146" spans="51:59" x14ac:dyDescent="0.25">
      <c r="AY146" s="7">
        <v>0</v>
      </c>
      <c r="AZ146" s="7" t="str">
        <f>"0"</f>
        <v>0</v>
      </c>
      <c r="BA146" t="str">
        <f ca="1">IF((OFFSET($A$1, 146 - 1, 51 - 1)) &gt;= (OFFSET($A$1, 77 - 1, 7 - 1)), "1","0")</f>
        <v>0</v>
      </c>
      <c r="BB146">
        <f ca="1" xml:space="preserve"> IF( AND( OFFSET($A$1, 146 - 1, 52 - 1) = "1", OFFSET($A$1, 146 - 1, 53 - 1) = "1" ), 1, IF( AND( OFFSET($A$1, 146 - 1, 52 - 1) = "1", OFFSET($A$1, 146 - 1, 53 - 1) = "0" ), 2, IF( AND( OFFSET($A$1, 146 - 1, 52 - 1) = "0", OFFSET($A$1, 146 - 1, 53 - 1) = "1" ), 3, 4 ) ) )</f>
        <v>4</v>
      </c>
      <c r="BD146" s="7">
        <v>0.88235294117647056</v>
      </c>
      <c r="BE146" s="7" t="str">
        <f>"0"</f>
        <v>0</v>
      </c>
      <c r="BF146" t="str">
        <f ca="1">IF((OFFSET($A$1, 146 - 1, 56 - 1)) &gt;= (OFFSET($A$1, 101 - 1, 7 - 1)), "1","0")</f>
        <v>1</v>
      </c>
      <c r="BG146">
        <f ca="1" xml:space="preserve"> IF( AND( OFFSET($A$1, 146 - 1, 57 - 1) = "1", OFFSET($A$1, 146 - 1, 58 - 1) = "1" ), 1, IF( AND( OFFSET($A$1, 146 - 1, 57 - 1) = "1", OFFSET($A$1, 146 - 1, 58 - 1) = "0" ), 2, IF( AND( OFFSET($A$1, 146 - 1, 57 - 1) = "0", OFFSET($A$1, 146 - 1, 58 - 1) = "1" ), 3, 4 ) ) )</f>
        <v>3</v>
      </c>
    </row>
    <row r="147" spans="51:59" x14ac:dyDescent="0.25">
      <c r="AY147" s="7">
        <v>0</v>
      </c>
      <c r="AZ147" s="7" t="str">
        <f>"0"</f>
        <v>0</v>
      </c>
      <c r="BA147" t="str">
        <f ca="1">IF((OFFSET($A$1, 147 - 1, 51 - 1)) &gt;= (OFFSET($A$1, 77 - 1, 7 - 1)), "1","0")</f>
        <v>0</v>
      </c>
      <c r="BB147">
        <f ca="1" xml:space="preserve"> IF( AND( OFFSET($A$1, 147 - 1, 52 - 1) = "1", OFFSET($A$1, 147 - 1, 53 - 1) = "1" ), 1, IF( AND( OFFSET($A$1, 147 - 1, 52 - 1) = "1", OFFSET($A$1, 147 - 1, 53 - 1) = "0" ), 2, IF( AND( OFFSET($A$1, 147 - 1, 52 - 1) = "0", OFFSET($A$1, 147 - 1, 53 - 1) = "1" ), 3, 4 ) ) )</f>
        <v>4</v>
      </c>
      <c r="BD147" s="7">
        <v>0</v>
      </c>
      <c r="BE147" s="7" t="str">
        <f>"0"</f>
        <v>0</v>
      </c>
      <c r="BF147" t="str">
        <f ca="1">IF((OFFSET($A$1, 147 - 1, 56 - 1)) &gt;= (OFFSET($A$1, 101 - 1, 7 - 1)), "1","0")</f>
        <v>0</v>
      </c>
      <c r="BG147">
        <f ca="1" xml:space="preserve"> IF( AND( OFFSET($A$1, 147 - 1, 57 - 1) = "1", OFFSET($A$1, 147 - 1, 58 - 1) = "1" ), 1, IF( AND( OFFSET($A$1, 147 - 1, 57 - 1) = "1", OFFSET($A$1, 147 - 1, 58 - 1) = "0" ), 2, IF( AND( OFFSET($A$1, 147 - 1, 57 - 1) = "0", OFFSET($A$1, 147 - 1, 58 - 1) = "1" ), 3, 4 ) ) )</f>
        <v>4</v>
      </c>
    </row>
    <row r="148" spans="51:59" x14ac:dyDescent="0.25">
      <c r="AY148" s="7">
        <v>0</v>
      </c>
      <c r="AZ148" s="7" t="str">
        <f>"0"</f>
        <v>0</v>
      </c>
      <c r="BA148" t="str">
        <f ca="1">IF((OFFSET($A$1, 148 - 1, 51 - 1)) &gt;= (OFFSET($A$1, 77 - 1, 7 - 1)), "1","0")</f>
        <v>0</v>
      </c>
      <c r="BB148">
        <f ca="1" xml:space="preserve"> IF( AND( OFFSET($A$1, 148 - 1, 52 - 1) = "1", OFFSET($A$1, 148 - 1, 53 - 1) = "1" ), 1, IF( AND( OFFSET($A$1, 148 - 1, 52 - 1) = "1", OFFSET($A$1, 148 - 1, 53 - 1) = "0" ), 2, IF( AND( OFFSET($A$1, 148 - 1, 52 - 1) = "0", OFFSET($A$1, 148 - 1, 53 - 1) = "1" ), 3, 4 ) ) )</f>
        <v>4</v>
      </c>
      <c r="BD148" s="7">
        <v>1</v>
      </c>
      <c r="BE148" s="7" t="str">
        <f>"1"</f>
        <v>1</v>
      </c>
      <c r="BF148" t="str">
        <f ca="1">IF((OFFSET($A$1, 148 - 1, 56 - 1)) &gt;= (OFFSET($A$1, 101 - 1, 7 - 1)), "1","0")</f>
        <v>1</v>
      </c>
      <c r="BG148">
        <f ca="1" xml:space="preserve"> IF( AND( OFFSET($A$1, 148 - 1, 57 - 1) = "1", OFFSET($A$1, 148 - 1, 58 - 1) = "1" ), 1, IF( AND( OFFSET($A$1, 148 - 1, 57 - 1) = "1", OFFSET($A$1, 148 - 1, 58 - 1) = "0" ), 2, IF( AND( OFFSET($A$1, 148 - 1, 57 - 1) = "0", OFFSET($A$1, 148 - 1, 58 - 1) = "1" ), 3, 4 ) ) )</f>
        <v>1</v>
      </c>
    </row>
    <row r="149" spans="51:59" x14ac:dyDescent="0.25">
      <c r="AY149" s="7">
        <v>5.8823529411764705E-2</v>
      </c>
      <c r="AZ149" s="7" t="str">
        <f>"0"</f>
        <v>0</v>
      </c>
      <c r="BA149" t="str">
        <f ca="1">IF((OFFSET($A$1, 149 - 1, 51 - 1)) &gt;= (OFFSET($A$1, 77 - 1, 7 - 1)), "1","0")</f>
        <v>0</v>
      </c>
      <c r="BB149">
        <f ca="1" xml:space="preserve"> IF( AND( OFFSET($A$1, 149 - 1, 52 - 1) = "1", OFFSET($A$1, 149 - 1, 53 - 1) = "1" ), 1, IF( AND( OFFSET($A$1, 149 - 1, 52 - 1) = "1", OFFSET($A$1, 149 - 1, 53 - 1) = "0" ), 2, IF( AND( OFFSET($A$1, 149 - 1, 52 - 1) = "0", OFFSET($A$1, 149 - 1, 53 - 1) = "1" ), 3, 4 ) ) )</f>
        <v>4</v>
      </c>
      <c r="BD149" s="7">
        <v>0</v>
      </c>
      <c r="BE149" s="7" t="str">
        <f>"0"</f>
        <v>0</v>
      </c>
      <c r="BF149" t="str">
        <f ca="1">IF((OFFSET($A$1, 149 - 1, 56 - 1)) &gt;= (OFFSET($A$1, 101 - 1, 7 - 1)), "1","0")</f>
        <v>0</v>
      </c>
      <c r="BG149">
        <f ca="1" xml:space="preserve"> IF( AND( OFFSET($A$1, 149 - 1, 57 - 1) = "1", OFFSET($A$1, 149 - 1, 58 - 1) = "1" ), 1, IF( AND( OFFSET($A$1, 149 - 1, 57 - 1) = "1", OFFSET($A$1, 149 - 1, 58 - 1) = "0" ), 2, IF( AND( OFFSET($A$1, 149 - 1, 57 - 1) = "0", OFFSET($A$1, 149 - 1, 58 - 1) = "1" ), 3, 4 ) ) )</f>
        <v>4</v>
      </c>
    </row>
    <row r="150" spans="51:59" x14ac:dyDescent="0.25">
      <c r="AY150" s="7">
        <v>0</v>
      </c>
      <c r="AZ150" s="7" t="str">
        <f>"0"</f>
        <v>0</v>
      </c>
      <c r="BA150" t="str">
        <f ca="1">IF((OFFSET($A$1, 150 - 1, 51 - 1)) &gt;= (OFFSET($A$1, 77 - 1, 7 - 1)), "1","0")</f>
        <v>0</v>
      </c>
      <c r="BB150">
        <f ca="1" xml:space="preserve"> IF( AND( OFFSET($A$1, 150 - 1, 52 - 1) = "1", OFFSET($A$1, 150 - 1, 53 - 1) = "1" ), 1, IF( AND( OFFSET($A$1, 150 - 1, 52 - 1) = "1", OFFSET($A$1, 150 - 1, 53 - 1) = "0" ), 2, IF( AND( OFFSET($A$1, 150 - 1, 52 - 1) = "0", OFFSET($A$1, 150 - 1, 53 - 1) = "1" ), 3, 4 ) ) )</f>
        <v>4</v>
      </c>
      <c r="BD150" s="7">
        <v>0.88235294117647056</v>
      </c>
      <c r="BE150" s="7" t="str">
        <f>"1"</f>
        <v>1</v>
      </c>
      <c r="BF150" t="str">
        <f ca="1">IF((OFFSET($A$1, 150 - 1, 56 - 1)) &gt;= (OFFSET($A$1, 101 - 1, 7 - 1)), "1","0")</f>
        <v>1</v>
      </c>
      <c r="BG150">
        <f ca="1" xml:space="preserve"> IF( AND( OFFSET($A$1, 150 - 1, 57 - 1) = "1", OFFSET($A$1, 150 - 1, 58 - 1) = "1" ), 1, IF( AND( OFFSET($A$1, 150 - 1, 57 - 1) = "1", OFFSET($A$1, 150 - 1, 58 - 1) = "0" ), 2, IF( AND( OFFSET($A$1, 150 - 1, 57 - 1) = "0", OFFSET($A$1, 150 - 1, 58 - 1) = "1" ), 3, 4 ) ) )</f>
        <v>1</v>
      </c>
    </row>
    <row r="151" spans="51:59" x14ac:dyDescent="0.25">
      <c r="AY151" s="7">
        <v>0</v>
      </c>
      <c r="AZ151" s="7" t="str">
        <f>"0"</f>
        <v>0</v>
      </c>
      <c r="BA151" t="str">
        <f ca="1">IF((OFFSET($A$1, 151 - 1, 51 - 1)) &gt;= (OFFSET($A$1, 77 - 1, 7 - 1)), "1","0")</f>
        <v>0</v>
      </c>
      <c r="BB151">
        <f ca="1" xml:space="preserve"> IF( AND( OFFSET($A$1, 151 - 1, 52 - 1) = "1", OFFSET($A$1, 151 - 1, 53 - 1) = "1" ), 1, IF( AND( OFFSET($A$1, 151 - 1, 52 - 1) = "1", OFFSET($A$1, 151 - 1, 53 - 1) = "0" ), 2, IF( AND( OFFSET($A$1, 151 - 1, 52 - 1) = "0", OFFSET($A$1, 151 - 1, 53 - 1) = "1" ), 3, 4 ) ) )</f>
        <v>4</v>
      </c>
      <c r="BD151" s="7">
        <v>0.11764705882352941</v>
      </c>
      <c r="BE151" s="7" t="str">
        <f>"0"</f>
        <v>0</v>
      </c>
      <c r="BF151" t="str">
        <f ca="1">IF((OFFSET($A$1, 151 - 1, 56 - 1)) &gt;= (OFFSET($A$1, 101 - 1, 7 - 1)), "1","0")</f>
        <v>0</v>
      </c>
      <c r="BG151">
        <f ca="1" xml:space="preserve"> IF( AND( OFFSET($A$1, 151 - 1, 57 - 1) = "1", OFFSET($A$1, 151 - 1, 58 - 1) = "1" ), 1, IF( AND( OFFSET($A$1, 151 - 1, 57 - 1) = "1", OFFSET($A$1, 151 - 1, 58 - 1) = "0" ), 2, IF( AND( OFFSET($A$1, 151 - 1, 57 - 1) = "0", OFFSET($A$1, 151 - 1, 58 - 1) = "1" ), 3, 4 ) ) )</f>
        <v>4</v>
      </c>
    </row>
    <row r="152" spans="51:59" x14ac:dyDescent="0.25">
      <c r="AY152" s="7">
        <v>0</v>
      </c>
      <c r="AZ152" s="7" t="str">
        <f>"0"</f>
        <v>0</v>
      </c>
      <c r="BA152" t="str">
        <f ca="1">IF((OFFSET($A$1, 152 - 1, 51 - 1)) &gt;= (OFFSET($A$1, 77 - 1, 7 - 1)), "1","0")</f>
        <v>0</v>
      </c>
      <c r="BB152">
        <f ca="1" xml:space="preserve"> IF( AND( OFFSET($A$1, 152 - 1, 52 - 1) = "1", OFFSET($A$1, 152 - 1, 53 - 1) = "1" ), 1, IF( AND( OFFSET($A$1, 152 - 1, 52 - 1) = "1", OFFSET($A$1, 152 - 1, 53 - 1) = "0" ), 2, IF( AND( OFFSET($A$1, 152 - 1, 52 - 1) = "0", OFFSET($A$1, 152 - 1, 53 - 1) = "1" ), 3, 4 ) ) )</f>
        <v>4</v>
      </c>
      <c r="BD152" s="7">
        <v>0</v>
      </c>
      <c r="BE152" s="7" t="str">
        <f>"0"</f>
        <v>0</v>
      </c>
      <c r="BF152" t="str">
        <f ca="1">IF((OFFSET($A$1, 152 - 1, 56 - 1)) &gt;= (OFFSET($A$1, 101 - 1, 7 - 1)), "1","0")</f>
        <v>0</v>
      </c>
      <c r="BG152">
        <f ca="1" xml:space="preserve"> IF( AND( OFFSET($A$1, 152 - 1, 57 - 1) = "1", OFFSET($A$1, 152 - 1, 58 - 1) = "1" ), 1, IF( AND( OFFSET($A$1, 152 - 1, 57 - 1) = "1", OFFSET($A$1, 152 - 1, 58 - 1) = "0" ), 2, IF( AND( OFFSET($A$1, 152 - 1, 57 - 1) = "0", OFFSET($A$1, 152 - 1, 58 - 1) = "1" ), 3, 4 ) ) )</f>
        <v>4</v>
      </c>
    </row>
    <row r="153" spans="51:59" x14ac:dyDescent="0.25">
      <c r="AY153" s="7">
        <v>0.82352941176470584</v>
      </c>
      <c r="AZ153" s="7" t="str">
        <f>"1"</f>
        <v>1</v>
      </c>
      <c r="BA153" t="str">
        <f ca="1">IF((OFFSET($A$1, 153 - 1, 51 - 1)) &gt;= (OFFSET($A$1, 77 - 1, 7 - 1)), "1","0")</f>
        <v>1</v>
      </c>
      <c r="BB153">
        <f ca="1" xml:space="preserve"> IF( AND( OFFSET($A$1, 153 - 1, 52 - 1) = "1", OFFSET($A$1, 153 - 1, 53 - 1) = "1" ), 1, IF( AND( OFFSET($A$1, 153 - 1, 52 - 1) = "1", OFFSET($A$1, 153 - 1, 53 - 1) = "0" ), 2, IF( AND( OFFSET($A$1, 153 - 1, 52 - 1) = "0", OFFSET($A$1, 153 - 1, 53 - 1) = "1" ), 3, 4 ) ) )</f>
        <v>1</v>
      </c>
      <c r="BD153" s="7">
        <v>0</v>
      </c>
      <c r="BE153" s="7" t="str">
        <f>"0"</f>
        <v>0</v>
      </c>
      <c r="BF153" t="str">
        <f ca="1">IF((OFFSET($A$1, 153 - 1, 56 - 1)) &gt;= (OFFSET($A$1, 101 - 1, 7 - 1)), "1","0")</f>
        <v>0</v>
      </c>
      <c r="BG153">
        <f ca="1" xml:space="preserve"> IF( AND( OFFSET($A$1, 153 - 1, 57 - 1) = "1", OFFSET($A$1, 153 - 1, 58 - 1) = "1" ), 1, IF( AND( OFFSET($A$1, 153 - 1, 57 - 1) = "1", OFFSET($A$1, 153 - 1, 58 - 1) = "0" ), 2, IF( AND( OFFSET($A$1, 153 - 1, 57 - 1) = "0", OFFSET($A$1, 153 - 1, 58 - 1) = "1" ), 3, 4 ) ) )</f>
        <v>4</v>
      </c>
    </row>
    <row r="154" spans="51:59" x14ac:dyDescent="0.25">
      <c r="AY154" s="7">
        <v>1</v>
      </c>
      <c r="AZ154" s="7" t="str">
        <f>"1"</f>
        <v>1</v>
      </c>
      <c r="BA154" t="str">
        <f ca="1">IF((OFFSET($A$1, 154 - 1, 51 - 1)) &gt;= (OFFSET($A$1, 77 - 1, 7 - 1)), "1","0")</f>
        <v>1</v>
      </c>
      <c r="BB154">
        <f ca="1" xml:space="preserve"> IF( AND( OFFSET($A$1, 154 - 1, 52 - 1) = "1", OFFSET($A$1, 154 - 1, 53 - 1) = "1" ), 1, IF( AND( OFFSET($A$1, 154 - 1, 52 - 1) = "1", OFFSET($A$1, 154 - 1, 53 - 1) = "0" ), 2, IF( AND( OFFSET($A$1, 154 - 1, 52 - 1) = "0", OFFSET($A$1, 154 - 1, 53 - 1) = "1" ), 3, 4 ) ) )</f>
        <v>1</v>
      </c>
      <c r="BD154" s="7">
        <v>0</v>
      </c>
      <c r="BE154" s="7" t="str">
        <f>"0"</f>
        <v>0</v>
      </c>
      <c r="BF154" t="str">
        <f ca="1">IF((OFFSET($A$1, 154 - 1, 56 - 1)) &gt;= (OFFSET($A$1, 101 - 1, 7 - 1)), "1","0")</f>
        <v>0</v>
      </c>
      <c r="BG154">
        <f ca="1" xml:space="preserve"> IF( AND( OFFSET($A$1, 154 - 1, 57 - 1) = "1", OFFSET($A$1, 154 - 1, 58 - 1) = "1" ), 1, IF( AND( OFFSET($A$1, 154 - 1, 57 - 1) = "1", OFFSET($A$1, 154 - 1, 58 - 1) = "0" ), 2, IF( AND( OFFSET($A$1, 154 - 1, 57 - 1) = "0", OFFSET($A$1, 154 - 1, 58 - 1) = "1" ), 3, 4 ) ) )</f>
        <v>4</v>
      </c>
    </row>
    <row r="155" spans="51:59" x14ac:dyDescent="0.25">
      <c r="AY155" s="7">
        <v>0</v>
      </c>
      <c r="AZ155" s="7" t="str">
        <f>"0"</f>
        <v>0</v>
      </c>
      <c r="BA155" t="str">
        <f ca="1">IF((OFFSET($A$1, 155 - 1, 51 - 1)) &gt;= (OFFSET($A$1, 77 - 1, 7 - 1)), "1","0")</f>
        <v>0</v>
      </c>
      <c r="BB155">
        <f ca="1" xml:space="preserve"> IF( AND( OFFSET($A$1, 155 - 1, 52 - 1) = "1", OFFSET($A$1, 155 - 1, 53 - 1) = "1" ), 1, IF( AND( OFFSET($A$1, 155 - 1, 52 - 1) = "1", OFFSET($A$1, 155 - 1, 53 - 1) = "0" ), 2, IF( AND( OFFSET($A$1, 155 - 1, 52 - 1) = "0", OFFSET($A$1, 155 - 1, 53 - 1) = "1" ), 3, 4 ) ) )</f>
        <v>4</v>
      </c>
      <c r="BD155" s="7">
        <v>1</v>
      </c>
      <c r="BE155" s="7" t="str">
        <f>"1"</f>
        <v>1</v>
      </c>
      <c r="BF155" t="str">
        <f ca="1">IF((OFFSET($A$1, 155 - 1, 56 - 1)) &gt;= (OFFSET($A$1, 101 - 1, 7 - 1)), "1","0")</f>
        <v>1</v>
      </c>
      <c r="BG155">
        <f ca="1" xml:space="preserve"> IF( AND( OFFSET($A$1, 155 - 1, 57 - 1) = "1", OFFSET($A$1, 155 - 1, 58 - 1) = "1" ), 1, IF( AND( OFFSET($A$1, 155 - 1, 57 - 1) = "1", OFFSET($A$1, 155 - 1, 58 - 1) = "0" ), 2, IF( AND( OFFSET($A$1, 155 - 1, 57 - 1) = "0", OFFSET($A$1, 155 - 1, 58 - 1) = "1" ), 3, 4 ) ) )</f>
        <v>1</v>
      </c>
    </row>
    <row r="156" spans="51:59" x14ac:dyDescent="0.25">
      <c r="AY156" s="7">
        <v>0</v>
      </c>
      <c r="AZ156" s="7" t="str">
        <f>"0"</f>
        <v>0</v>
      </c>
      <c r="BA156" t="str">
        <f ca="1">IF((OFFSET($A$1, 156 - 1, 51 - 1)) &gt;= (OFFSET($A$1, 77 - 1, 7 - 1)), "1","0")</f>
        <v>0</v>
      </c>
      <c r="BB156">
        <f ca="1" xml:space="preserve"> IF( AND( OFFSET($A$1, 156 - 1, 52 - 1) = "1", OFFSET($A$1, 156 - 1, 53 - 1) = "1" ), 1, IF( AND( OFFSET($A$1, 156 - 1, 52 - 1) = "1", OFFSET($A$1, 156 - 1, 53 - 1) = "0" ), 2, IF( AND( OFFSET($A$1, 156 - 1, 52 - 1) = "0", OFFSET($A$1, 156 - 1, 53 - 1) = "1" ), 3, 4 ) ) )</f>
        <v>4</v>
      </c>
      <c r="BD156" s="7">
        <v>0</v>
      </c>
      <c r="BE156" s="7" t="str">
        <f>"0"</f>
        <v>0</v>
      </c>
      <c r="BF156" t="str">
        <f ca="1">IF((OFFSET($A$1, 156 - 1, 56 - 1)) &gt;= (OFFSET($A$1, 101 - 1, 7 - 1)), "1","0")</f>
        <v>0</v>
      </c>
      <c r="BG156">
        <f ca="1" xml:space="preserve"> IF( AND( OFFSET($A$1, 156 - 1, 57 - 1) = "1", OFFSET($A$1, 156 - 1, 58 - 1) = "1" ), 1, IF( AND( OFFSET($A$1, 156 - 1, 57 - 1) = "1", OFFSET($A$1, 156 - 1, 58 - 1) = "0" ), 2, IF( AND( OFFSET($A$1, 156 - 1, 57 - 1) = "0", OFFSET($A$1, 156 - 1, 58 - 1) = "1" ), 3, 4 ) ) )</f>
        <v>4</v>
      </c>
    </row>
    <row r="157" spans="51:59" x14ac:dyDescent="0.25">
      <c r="AY157" s="7">
        <v>5.8823529411764705E-2</v>
      </c>
      <c r="AZ157" s="7" t="str">
        <f>"0"</f>
        <v>0</v>
      </c>
      <c r="BA157" t="str">
        <f ca="1">IF((OFFSET($A$1, 157 - 1, 51 - 1)) &gt;= (OFFSET($A$1, 77 - 1, 7 - 1)), "1","0")</f>
        <v>0</v>
      </c>
      <c r="BB157">
        <f ca="1" xml:space="preserve"> IF( AND( OFFSET($A$1, 157 - 1, 52 - 1) = "1", OFFSET($A$1, 157 - 1, 53 - 1) = "1" ), 1, IF( AND( OFFSET($A$1, 157 - 1, 52 - 1) = "1", OFFSET($A$1, 157 - 1, 53 - 1) = "0" ), 2, IF( AND( OFFSET($A$1, 157 - 1, 52 - 1) = "0", OFFSET($A$1, 157 - 1, 53 - 1) = "1" ), 3, 4 ) ) )</f>
        <v>4</v>
      </c>
      <c r="BD157" s="7">
        <v>0.82352941176470584</v>
      </c>
      <c r="BE157" s="7" t="str">
        <f>"0"</f>
        <v>0</v>
      </c>
      <c r="BF157" t="str">
        <f ca="1">IF((OFFSET($A$1, 157 - 1, 56 - 1)) &gt;= (OFFSET($A$1, 101 - 1, 7 - 1)), "1","0")</f>
        <v>1</v>
      </c>
      <c r="BG157">
        <f ca="1" xml:space="preserve"> IF( AND( OFFSET($A$1, 157 - 1, 57 - 1) = "1", OFFSET($A$1, 157 - 1, 58 - 1) = "1" ), 1, IF( AND( OFFSET($A$1, 157 - 1, 57 - 1) = "1", OFFSET($A$1, 157 - 1, 58 - 1) = "0" ), 2, IF( AND( OFFSET($A$1, 157 - 1, 57 - 1) = "0", OFFSET($A$1, 157 - 1, 58 - 1) = "1" ), 3, 4 ) ) )</f>
        <v>3</v>
      </c>
    </row>
    <row r="158" spans="51:59" x14ac:dyDescent="0.25">
      <c r="AY158" s="7">
        <v>1</v>
      </c>
      <c r="AZ158" s="7" t="str">
        <f>"1"</f>
        <v>1</v>
      </c>
      <c r="BA158" t="str">
        <f ca="1">IF((OFFSET($A$1, 158 - 1, 51 - 1)) &gt;= (OFFSET($A$1, 77 - 1, 7 - 1)), "1","0")</f>
        <v>1</v>
      </c>
      <c r="BB158">
        <f ca="1" xml:space="preserve"> IF( AND( OFFSET($A$1, 158 - 1, 52 - 1) = "1", OFFSET($A$1, 158 - 1, 53 - 1) = "1" ), 1, IF( AND( OFFSET($A$1, 158 - 1, 52 - 1) = "1", OFFSET($A$1, 158 - 1, 53 - 1) = "0" ), 2, IF( AND( OFFSET($A$1, 158 - 1, 52 - 1) = "0", OFFSET($A$1, 158 - 1, 53 - 1) = "1" ), 3, 4 ) ) )</f>
        <v>1</v>
      </c>
      <c r="BD158" s="7">
        <v>0</v>
      </c>
      <c r="BE158" s="7" t="str">
        <f>"0"</f>
        <v>0</v>
      </c>
      <c r="BF158" t="str">
        <f ca="1">IF((OFFSET($A$1, 158 - 1, 56 - 1)) &gt;= (OFFSET($A$1, 101 - 1, 7 - 1)), "1","0")</f>
        <v>0</v>
      </c>
      <c r="BG158">
        <f ca="1" xml:space="preserve"> IF( AND( OFFSET($A$1, 158 - 1, 57 - 1) = "1", OFFSET($A$1, 158 - 1, 58 - 1) = "1" ), 1, IF( AND( OFFSET($A$1, 158 - 1, 57 - 1) = "1", OFFSET($A$1, 158 - 1, 58 - 1) = "0" ), 2, IF( AND( OFFSET($A$1, 158 - 1, 57 - 1) = "0", OFFSET($A$1, 158 - 1, 58 - 1) = "1" ), 3, 4 ) ) )</f>
        <v>4</v>
      </c>
    </row>
    <row r="159" spans="51:59" x14ac:dyDescent="0.25">
      <c r="AY159" s="7">
        <v>0</v>
      </c>
      <c r="AZ159" s="7" t="str">
        <f>"0"</f>
        <v>0</v>
      </c>
      <c r="BA159" t="str">
        <f ca="1">IF((OFFSET($A$1, 159 - 1, 51 - 1)) &gt;= (OFFSET($A$1, 77 - 1, 7 - 1)), "1","0")</f>
        <v>0</v>
      </c>
      <c r="BB159">
        <f ca="1" xml:space="preserve"> IF( AND( OFFSET($A$1, 159 - 1, 52 - 1) = "1", OFFSET($A$1, 159 - 1, 53 - 1) = "1" ), 1, IF( AND( OFFSET($A$1, 159 - 1, 52 - 1) = "1", OFFSET($A$1, 159 - 1, 53 - 1) = "0" ), 2, IF( AND( OFFSET($A$1, 159 - 1, 52 - 1) = "0", OFFSET($A$1, 159 - 1, 53 - 1) = "1" ), 3, 4 ) ) )</f>
        <v>4</v>
      </c>
      <c r="BD159" s="7">
        <v>0</v>
      </c>
      <c r="BE159" s="7" t="str">
        <f>"0"</f>
        <v>0</v>
      </c>
      <c r="BF159" t="str">
        <f ca="1">IF((OFFSET($A$1, 159 - 1, 56 - 1)) &gt;= (OFFSET($A$1, 101 - 1, 7 - 1)), "1","0")</f>
        <v>0</v>
      </c>
      <c r="BG159">
        <f ca="1" xml:space="preserve"> IF( AND( OFFSET($A$1, 159 - 1, 57 - 1) = "1", OFFSET($A$1, 159 - 1, 58 - 1) = "1" ), 1, IF( AND( OFFSET($A$1, 159 - 1, 57 - 1) = "1", OFFSET($A$1, 159 - 1, 58 - 1) = "0" ), 2, IF( AND( OFFSET($A$1, 159 - 1, 57 - 1) = "0", OFFSET($A$1, 159 - 1, 58 - 1) = "1" ), 3, 4 ) ) )</f>
        <v>4</v>
      </c>
    </row>
    <row r="160" spans="51:59" x14ac:dyDescent="0.25">
      <c r="AY160" s="7">
        <v>0</v>
      </c>
      <c r="AZ160" s="7" t="str">
        <f>"0"</f>
        <v>0</v>
      </c>
      <c r="BA160" t="str">
        <f ca="1">IF((OFFSET($A$1, 160 - 1, 51 - 1)) &gt;= (OFFSET($A$1, 77 - 1, 7 - 1)), "1","0")</f>
        <v>0</v>
      </c>
      <c r="BB160">
        <f ca="1" xml:space="preserve"> IF( AND( OFFSET($A$1, 160 - 1, 52 - 1) = "1", OFFSET($A$1, 160 - 1, 53 - 1) = "1" ), 1, IF( AND( OFFSET($A$1, 160 - 1, 52 - 1) = "1", OFFSET($A$1, 160 - 1, 53 - 1) = "0" ), 2, IF( AND( OFFSET($A$1, 160 - 1, 52 - 1) = "0", OFFSET($A$1, 160 - 1, 53 - 1) = "1" ), 3, 4 ) ) )</f>
        <v>4</v>
      </c>
      <c r="BD160" s="7">
        <v>0.88235294117647056</v>
      </c>
      <c r="BE160" s="7" t="str">
        <f>"1"</f>
        <v>1</v>
      </c>
      <c r="BF160" t="str">
        <f ca="1">IF((OFFSET($A$1, 160 - 1, 56 - 1)) &gt;= (OFFSET($A$1, 101 - 1, 7 - 1)), "1","0")</f>
        <v>1</v>
      </c>
      <c r="BG160">
        <f ca="1" xml:space="preserve"> IF( AND( OFFSET($A$1, 160 - 1, 57 - 1) = "1", OFFSET($A$1, 160 - 1, 58 - 1) = "1" ), 1, IF( AND( OFFSET($A$1, 160 - 1, 57 - 1) = "1", OFFSET($A$1, 160 - 1, 58 - 1) = "0" ), 2, IF( AND( OFFSET($A$1, 160 - 1, 57 - 1) = "0", OFFSET($A$1, 160 - 1, 58 - 1) = "1" ), 3, 4 ) ) )</f>
        <v>1</v>
      </c>
    </row>
    <row r="161" spans="51:59" x14ac:dyDescent="0.25">
      <c r="AY161" s="7">
        <v>0.11764705882352941</v>
      </c>
      <c r="AZ161" s="7" t="str">
        <f>"0"</f>
        <v>0</v>
      </c>
      <c r="BA161" t="str">
        <f ca="1">IF((OFFSET($A$1, 161 - 1, 51 - 1)) &gt;= (OFFSET($A$1, 77 - 1, 7 - 1)), "1","0")</f>
        <v>0</v>
      </c>
      <c r="BB161">
        <f ca="1" xml:space="preserve"> IF( AND( OFFSET($A$1, 161 - 1, 52 - 1) = "1", OFFSET($A$1, 161 - 1, 53 - 1) = "1" ), 1, IF( AND( OFFSET($A$1, 161 - 1, 52 - 1) = "1", OFFSET($A$1, 161 - 1, 53 - 1) = "0" ), 2, IF( AND( OFFSET($A$1, 161 - 1, 52 - 1) = "0", OFFSET($A$1, 161 - 1, 53 - 1) = "1" ), 3, 4 ) ) )</f>
        <v>4</v>
      </c>
      <c r="BD161" s="7">
        <v>0</v>
      </c>
      <c r="BE161" s="7" t="str">
        <f>"0"</f>
        <v>0</v>
      </c>
      <c r="BF161" t="str">
        <f ca="1">IF((OFFSET($A$1, 161 - 1, 56 - 1)) &gt;= (OFFSET($A$1, 101 - 1, 7 - 1)), "1","0")</f>
        <v>0</v>
      </c>
      <c r="BG161">
        <f ca="1" xml:space="preserve"> IF( AND( OFFSET($A$1, 161 - 1, 57 - 1) = "1", OFFSET($A$1, 161 - 1, 58 - 1) = "1" ), 1, IF( AND( OFFSET($A$1, 161 - 1, 57 - 1) = "1", OFFSET($A$1, 161 - 1, 58 - 1) = "0" ), 2, IF( AND( OFFSET($A$1, 161 - 1, 57 - 1) = "0", OFFSET($A$1, 161 - 1, 58 - 1) = "1" ), 3, 4 ) ) )</f>
        <v>4</v>
      </c>
    </row>
    <row r="162" spans="51:59" x14ac:dyDescent="0.25">
      <c r="AY162" s="7">
        <v>5.8823529411764705E-2</v>
      </c>
      <c r="AZ162" s="7" t="str">
        <f>"0"</f>
        <v>0</v>
      </c>
      <c r="BA162" t="str">
        <f ca="1">IF((OFFSET($A$1, 162 - 1, 51 - 1)) &gt;= (OFFSET($A$1, 77 - 1, 7 - 1)), "1","0")</f>
        <v>0</v>
      </c>
      <c r="BB162">
        <f ca="1" xml:space="preserve"> IF( AND( OFFSET($A$1, 162 - 1, 52 - 1) = "1", OFFSET($A$1, 162 - 1, 53 - 1) = "1" ), 1, IF( AND( OFFSET($A$1, 162 - 1, 52 - 1) = "1", OFFSET($A$1, 162 - 1, 53 - 1) = "0" ), 2, IF( AND( OFFSET($A$1, 162 - 1, 52 - 1) = "0", OFFSET($A$1, 162 - 1, 53 - 1) = "1" ), 3, 4 ) ) )</f>
        <v>4</v>
      </c>
      <c r="BD162" s="7">
        <v>0</v>
      </c>
      <c r="BE162" s="7" t="str">
        <f>"0"</f>
        <v>0</v>
      </c>
      <c r="BF162" t="str">
        <f ca="1">IF((OFFSET($A$1, 162 - 1, 56 - 1)) &gt;= (OFFSET($A$1, 101 - 1, 7 - 1)), "1","0")</f>
        <v>0</v>
      </c>
      <c r="BG162">
        <f ca="1" xml:space="preserve"> IF( AND( OFFSET($A$1, 162 - 1, 57 - 1) = "1", OFFSET($A$1, 162 - 1, 58 - 1) = "1" ), 1, IF( AND( OFFSET($A$1, 162 - 1, 57 - 1) = "1", OFFSET($A$1, 162 - 1, 58 - 1) = "0" ), 2, IF( AND( OFFSET($A$1, 162 - 1, 57 - 1) = "0", OFFSET($A$1, 162 - 1, 58 - 1) = "1" ), 3, 4 ) ) )</f>
        <v>4</v>
      </c>
    </row>
    <row r="163" spans="51:59" x14ac:dyDescent="0.25">
      <c r="AY163" s="7">
        <v>0</v>
      </c>
      <c r="AZ163" s="7" t="str">
        <f>"0"</f>
        <v>0</v>
      </c>
      <c r="BA163" t="str">
        <f ca="1">IF((OFFSET($A$1, 163 - 1, 51 - 1)) &gt;= (OFFSET($A$1, 77 - 1, 7 - 1)), "1","0")</f>
        <v>0</v>
      </c>
      <c r="BB163">
        <f ca="1" xml:space="preserve"> IF( AND( OFFSET($A$1, 163 - 1, 52 - 1) = "1", OFFSET($A$1, 163 - 1, 53 - 1) = "1" ), 1, IF( AND( OFFSET($A$1, 163 - 1, 52 - 1) = "1", OFFSET($A$1, 163 - 1, 53 - 1) = "0" ), 2, IF( AND( OFFSET($A$1, 163 - 1, 52 - 1) = "0", OFFSET($A$1, 163 - 1, 53 - 1) = "1" ), 3, 4 ) ) )</f>
        <v>4</v>
      </c>
      <c r="BD163" s="7">
        <v>5.8823529411764705E-2</v>
      </c>
      <c r="BE163" s="7" t="str">
        <f>"0"</f>
        <v>0</v>
      </c>
      <c r="BF163" t="str">
        <f ca="1">IF((OFFSET($A$1, 163 - 1, 56 - 1)) &gt;= (OFFSET($A$1, 101 - 1, 7 - 1)), "1","0")</f>
        <v>0</v>
      </c>
      <c r="BG163">
        <f ca="1" xml:space="preserve"> IF( AND( OFFSET($A$1, 163 - 1, 57 - 1) = "1", OFFSET($A$1, 163 - 1, 58 - 1) = "1" ), 1, IF( AND( OFFSET($A$1, 163 - 1, 57 - 1) = "1", OFFSET($A$1, 163 - 1, 58 - 1) = "0" ), 2, IF( AND( OFFSET($A$1, 163 - 1, 57 - 1) = "0", OFFSET($A$1, 163 - 1, 58 - 1) = "1" ), 3, 4 ) ) )</f>
        <v>4</v>
      </c>
    </row>
    <row r="164" spans="51:59" x14ac:dyDescent="0.25">
      <c r="AY164" s="7">
        <v>1</v>
      </c>
      <c r="AZ164" s="7" t="str">
        <f>"1"</f>
        <v>1</v>
      </c>
      <c r="BA164" t="str">
        <f ca="1">IF((OFFSET($A$1, 164 - 1, 51 - 1)) &gt;= (OFFSET($A$1, 77 - 1, 7 - 1)), "1","0")</f>
        <v>1</v>
      </c>
      <c r="BB164">
        <f ca="1" xml:space="preserve"> IF( AND( OFFSET($A$1, 164 - 1, 52 - 1) = "1", OFFSET($A$1, 164 - 1, 53 - 1) = "1" ), 1, IF( AND( OFFSET($A$1, 164 - 1, 52 - 1) = "1", OFFSET($A$1, 164 - 1, 53 - 1) = "0" ), 2, IF( AND( OFFSET($A$1, 164 - 1, 52 - 1) = "0", OFFSET($A$1, 164 - 1, 53 - 1) = "1" ), 3, 4 ) ) )</f>
        <v>1</v>
      </c>
      <c r="BD164" s="7">
        <v>1</v>
      </c>
      <c r="BE164" s="7" t="str">
        <f>"1"</f>
        <v>1</v>
      </c>
      <c r="BF164" t="str">
        <f ca="1">IF((OFFSET($A$1, 164 - 1, 56 - 1)) &gt;= (OFFSET($A$1, 101 - 1, 7 - 1)), "1","0")</f>
        <v>1</v>
      </c>
      <c r="BG164">
        <f ca="1" xml:space="preserve"> IF( AND( OFFSET($A$1, 164 - 1, 57 - 1) = "1", OFFSET($A$1, 164 - 1, 58 - 1) = "1" ), 1, IF( AND( OFFSET($A$1, 164 - 1, 57 - 1) = "1", OFFSET($A$1, 164 - 1, 58 - 1) = "0" ), 2, IF( AND( OFFSET($A$1, 164 - 1, 57 - 1) = "0", OFFSET($A$1, 164 - 1, 58 - 1) = "1" ), 3, 4 ) ) )</f>
        <v>1</v>
      </c>
    </row>
    <row r="165" spans="51:59" x14ac:dyDescent="0.25">
      <c r="AY165" s="7">
        <v>0</v>
      </c>
      <c r="AZ165" s="7" t="str">
        <f>"0"</f>
        <v>0</v>
      </c>
      <c r="BA165" t="str">
        <f ca="1">IF((OFFSET($A$1, 165 - 1, 51 - 1)) &gt;= (OFFSET($A$1, 77 - 1, 7 - 1)), "1","0")</f>
        <v>0</v>
      </c>
      <c r="BB165">
        <f ca="1" xml:space="preserve"> IF( AND( OFFSET($A$1, 165 - 1, 52 - 1) = "1", OFFSET($A$1, 165 - 1, 53 - 1) = "1" ), 1, IF( AND( OFFSET($A$1, 165 - 1, 52 - 1) = "1", OFFSET($A$1, 165 - 1, 53 - 1) = "0" ), 2, IF( AND( OFFSET($A$1, 165 - 1, 52 - 1) = "0", OFFSET($A$1, 165 - 1, 53 - 1) = "1" ), 3, 4 ) ) )</f>
        <v>4</v>
      </c>
      <c r="BD165" s="7">
        <v>1</v>
      </c>
      <c r="BE165" s="7" t="str">
        <f>"1"</f>
        <v>1</v>
      </c>
      <c r="BF165" t="str">
        <f ca="1">IF((OFFSET($A$1, 165 - 1, 56 - 1)) &gt;= (OFFSET($A$1, 101 - 1, 7 - 1)), "1","0")</f>
        <v>1</v>
      </c>
      <c r="BG165">
        <f ca="1" xml:space="preserve"> IF( AND( OFFSET($A$1, 165 - 1, 57 - 1) = "1", OFFSET($A$1, 165 - 1, 58 - 1) = "1" ), 1, IF( AND( OFFSET($A$1, 165 - 1, 57 - 1) = "1", OFFSET($A$1, 165 - 1, 58 - 1) = "0" ), 2, IF( AND( OFFSET($A$1, 165 - 1, 57 - 1) = "0", OFFSET($A$1, 165 - 1, 58 - 1) = "1" ), 3, 4 ) ) )</f>
        <v>1</v>
      </c>
    </row>
    <row r="166" spans="51:59" x14ac:dyDescent="0.25">
      <c r="AY166" s="7">
        <v>0.88235294117647056</v>
      </c>
      <c r="AZ166" s="7" t="str">
        <f>"1"</f>
        <v>1</v>
      </c>
      <c r="BA166" t="str">
        <f ca="1">IF((OFFSET($A$1, 166 - 1, 51 - 1)) &gt;= (OFFSET($A$1, 77 - 1, 7 - 1)), "1","0")</f>
        <v>1</v>
      </c>
      <c r="BB166">
        <f ca="1" xml:space="preserve"> IF( AND( OFFSET($A$1, 166 - 1, 52 - 1) = "1", OFFSET($A$1, 166 - 1, 53 - 1) = "1" ), 1, IF( AND( OFFSET($A$1, 166 - 1, 52 - 1) = "1", OFFSET($A$1, 166 - 1, 53 - 1) = "0" ), 2, IF( AND( OFFSET($A$1, 166 - 1, 52 - 1) = "0", OFFSET($A$1, 166 - 1, 53 - 1) = "1" ), 3, 4 ) ) )</f>
        <v>1</v>
      </c>
      <c r="BD166" s="7">
        <v>1</v>
      </c>
      <c r="BE166" s="7" t="str">
        <f>"1"</f>
        <v>1</v>
      </c>
      <c r="BF166" t="str">
        <f ca="1">IF((OFFSET($A$1, 166 - 1, 56 - 1)) &gt;= (OFFSET($A$1, 101 - 1, 7 - 1)), "1","0")</f>
        <v>1</v>
      </c>
      <c r="BG166">
        <f ca="1" xml:space="preserve"> IF( AND( OFFSET($A$1, 166 - 1, 57 - 1) = "1", OFFSET($A$1, 166 - 1, 58 - 1) = "1" ), 1, IF( AND( OFFSET($A$1, 166 - 1, 57 - 1) = "1", OFFSET($A$1, 166 - 1, 58 - 1) = "0" ), 2, IF( AND( OFFSET($A$1, 166 - 1, 57 - 1) = "0", OFFSET($A$1, 166 - 1, 58 - 1) = "1" ), 3, 4 ) ) )</f>
        <v>1</v>
      </c>
    </row>
    <row r="167" spans="51:59" x14ac:dyDescent="0.25">
      <c r="AY167" s="7">
        <v>0</v>
      </c>
      <c r="AZ167" s="7" t="str">
        <f>"0"</f>
        <v>0</v>
      </c>
      <c r="BA167" t="str">
        <f ca="1">IF((OFFSET($A$1, 167 - 1, 51 - 1)) &gt;= (OFFSET($A$1, 77 - 1, 7 - 1)), "1","0")</f>
        <v>0</v>
      </c>
      <c r="BB167">
        <f ca="1" xml:space="preserve"> IF( AND( OFFSET($A$1, 167 - 1, 52 - 1) = "1", OFFSET($A$1, 167 - 1, 53 - 1) = "1" ), 1, IF( AND( OFFSET($A$1, 167 - 1, 52 - 1) = "1", OFFSET($A$1, 167 - 1, 53 - 1) = "0" ), 2, IF( AND( OFFSET($A$1, 167 - 1, 52 - 1) = "0", OFFSET($A$1, 167 - 1, 53 - 1) = "1" ), 3, 4 ) ) )</f>
        <v>4</v>
      </c>
      <c r="BD167" s="7">
        <v>1</v>
      </c>
      <c r="BE167" s="7" t="str">
        <f>"1"</f>
        <v>1</v>
      </c>
      <c r="BF167" t="str">
        <f ca="1">IF((OFFSET($A$1, 167 - 1, 56 - 1)) &gt;= (OFFSET($A$1, 101 - 1, 7 - 1)), "1","0")</f>
        <v>1</v>
      </c>
      <c r="BG167">
        <f ca="1" xml:space="preserve"> IF( AND( OFFSET($A$1, 167 - 1, 57 - 1) = "1", OFFSET($A$1, 167 - 1, 58 - 1) = "1" ), 1, IF( AND( OFFSET($A$1, 167 - 1, 57 - 1) = "1", OFFSET($A$1, 167 - 1, 58 - 1) = "0" ), 2, IF( AND( OFFSET($A$1, 167 - 1, 57 - 1) = "0", OFFSET($A$1, 167 - 1, 58 - 1) = "1" ), 3, 4 ) ) )</f>
        <v>1</v>
      </c>
    </row>
    <row r="168" spans="51:59" x14ac:dyDescent="0.25">
      <c r="AY168" s="7">
        <v>0.11764705882352941</v>
      </c>
      <c r="AZ168" s="7" t="str">
        <f>"0"</f>
        <v>0</v>
      </c>
      <c r="BA168" t="str">
        <f ca="1">IF((OFFSET($A$1, 168 - 1, 51 - 1)) &gt;= (OFFSET($A$1, 77 - 1, 7 - 1)), "1","0")</f>
        <v>0</v>
      </c>
      <c r="BB168">
        <f ca="1" xml:space="preserve"> IF( AND( OFFSET($A$1, 168 - 1, 52 - 1) = "1", OFFSET($A$1, 168 - 1, 53 - 1) = "1" ), 1, IF( AND( OFFSET($A$1, 168 - 1, 52 - 1) = "1", OFFSET($A$1, 168 - 1, 53 - 1) = "0" ), 2, IF( AND( OFFSET($A$1, 168 - 1, 52 - 1) = "0", OFFSET($A$1, 168 - 1, 53 - 1) = "1" ), 3, 4 ) ) )</f>
        <v>4</v>
      </c>
      <c r="BD168" s="7">
        <v>0.35294117647058826</v>
      </c>
      <c r="BE168" s="7" t="str">
        <f>"1"</f>
        <v>1</v>
      </c>
      <c r="BF168" t="str">
        <f ca="1">IF((OFFSET($A$1, 168 - 1, 56 - 1)) &gt;= (OFFSET($A$1, 101 - 1, 7 - 1)), "1","0")</f>
        <v>0</v>
      </c>
      <c r="BG168">
        <f ca="1" xml:space="preserve"> IF( AND( OFFSET($A$1, 168 - 1, 57 - 1) = "1", OFFSET($A$1, 168 - 1, 58 - 1) = "1" ), 1, IF( AND( OFFSET($A$1, 168 - 1, 57 - 1) = "1", OFFSET($A$1, 168 - 1, 58 - 1) = "0" ), 2, IF( AND( OFFSET($A$1, 168 - 1, 57 - 1) = "0", OFFSET($A$1, 168 - 1, 58 - 1) = "1" ), 3, 4 ) ) )</f>
        <v>2</v>
      </c>
    </row>
    <row r="169" spans="51:59" x14ac:dyDescent="0.25">
      <c r="AY169" s="7">
        <v>0</v>
      </c>
      <c r="AZ169" s="7" t="str">
        <f>"0"</f>
        <v>0</v>
      </c>
      <c r="BA169" t="str">
        <f ca="1">IF((OFFSET($A$1, 169 - 1, 51 - 1)) &gt;= (OFFSET($A$1, 77 - 1, 7 - 1)), "1","0")</f>
        <v>0</v>
      </c>
      <c r="BB169">
        <f ca="1" xml:space="preserve"> IF( AND( OFFSET($A$1, 169 - 1, 52 - 1) = "1", OFFSET($A$1, 169 - 1, 53 - 1) = "1" ), 1, IF( AND( OFFSET($A$1, 169 - 1, 52 - 1) = "1", OFFSET($A$1, 169 - 1, 53 - 1) = "0" ), 2, IF( AND( OFFSET($A$1, 169 - 1, 52 - 1) = "0", OFFSET($A$1, 169 - 1, 53 - 1) = "1" ), 3, 4 ) ) )</f>
        <v>4</v>
      </c>
      <c r="BD169" s="7">
        <v>0</v>
      </c>
      <c r="BE169" s="7" t="str">
        <f>"0"</f>
        <v>0</v>
      </c>
      <c r="BF169" t="str">
        <f ca="1">IF((OFFSET($A$1, 169 - 1, 56 - 1)) &gt;= (OFFSET($A$1, 101 - 1, 7 - 1)), "1","0")</f>
        <v>0</v>
      </c>
      <c r="BG169">
        <f ca="1" xml:space="preserve"> IF( AND( OFFSET($A$1, 169 - 1, 57 - 1) = "1", OFFSET($A$1, 169 - 1, 58 - 1) = "1" ), 1, IF( AND( OFFSET($A$1, 169 - 1, 57 - 1) = "1", OFFSET($A$1, 169 - 1, 58 - 1) = "0" ), 2, IF( AND( OFFSET($A$1, 169 - 1, 57 - 1) = "0", OFFSET($A$1, 169 - 1, 58 - 1) = "1" ), 3, 4 ) ) )</f>
        <v>4</v>
      </c>
    </row>
    <row r="170" spans="51:59" x14ac:dyDescent="0.25">
      <c r="AY170" s="7">
        <v>0</v>
      </c>
      <c r="AZ170" s="7" t="str">
        <f>"0"</f>
        <v>0</v>
      </c>
      <c r="BA170" t="str">
        <f ca="1">IF((OFFSET($A$1, 170 - 1, 51 - 1)) &gt;= (OFFSET($A$1, 77 - 1, 7 - 1)), "1","0")</f>
        <v>0</v>
      </c>
      <c r="BB170">
        <f ca="1" xml:space="preserve"> IF( AND( OFFSET($A$1, 170 - 1, 52 - 1) = "1", OFFSET($A$1, 170 - 1, 53 - 1) = "1" ), 1, IF( AND( OFFSET($A$1, 170 - 1, 52 - 1) = "1", OFFSET($A$1, 170 - 1, 53 - 1) = "0" ), 2, IF( AND( OFFSET($A$1, 170 - 1, 52 - 1) = "0", OFFSET($A$1, 170 - 1, 53 - 1) = "1" ), 3, 4 ) ) )</f>
        <v>4</v>
      </c>
      <c r="BD170" s="7">
        <v>0.88235294117647056</v>
      </c>
      <c r="BE170" s="7" t="str">
        <f>"1"</f>
        <v>1</v>
      </c>
      <c r="BF170" t="str">
        <f ca="1">IF((OFFSET($A$1, 170 - 1, 56 - 1)) &gt;= (OFFSET($A$1, 101 - 1, 7 - 1)), "1","0")</f>
        <v>1</v>
      </c>
      <c r="BG170">
        <f ca="1" xml:space="preserve"> IF( AND( OFFSET($A$1, 170 - 1, 57 - 1) = "1", OFFSET($A$1, 170 - 1, 58 - 1) = "1" ), 1, IF( AND( OFFSET($A$1, 170 - 1, 57 - 1) = "1", OFFSET($A$1, 170 - 1, 58 - 1) = "0" ), 2, IF( AND( OFFSET($A$1, 170 - 1, 57 - 1) = "0", OFFSET($A$1, 170 - 1, 58 - 1) = "1" ), 3, 4 ) ) )</f>
        <v>1</v>
      </c>
    </row>
    <row r="171" spans="51:59" x14ac:dyDescent="0.25">
      <c r="AY171" s="7">
        <v>5.8823529411764705E-2</v>
      </c>
      <c r="AZ171" s="7" t="str">
        <f>"0"</f>
        <v>0</v>
      </c>
      <c r="BA171" t="str">
        <f ca="1">IF((OFFSET($A$1, 171 - 1, 51 - 1)) &gt;= (OFFSET($A$1, 77 - 1, 7 - 1)), "1","0")</f>
        <v>0</v>
      </c>
      <c r="BB171">
        <f ca="1" xml:space="preserve"> IF( AND( OFFSET($A$1, 171 - 1, 52 - 1) = "1", OFFSET($A$1, 171 - 1, 53 - 1) = "1" ), 1, IF( AND( OFFSET($A$1, 171 - 1, 52 - 1) = "1", OFFSET($A$1, 171 - 1, 53 - 1) = "0" ), 2, IF( AND( OFFSET($A$1, 171 - 1, 52 - 1) = "0", OFFSET($A$1, 171 - 1, 53 - 1) = "1" ), 3, 4 ) ) )</f>
        <v>4</v>
      </c>
      <c r="BD171" s="7">
        <v>5.8823529411764705E-2</v>
      </c>
      <c r="BE171" s="7" t="str">
        <f>"0"</f>
        <v>0</v>
      </c>
      <c r="BF171" t="str">
        <f ca="1">IF((OFFSET($A$1, 171 - 1, 56 - 1)) &gt;= (OFFSET($A$1, 101 - 1, 7 - 1)), "1","0")</f>
        <v>0</v>
      </c>
      <c r="BG171">
        <f ca="1" xml:space="preserve"> IF( AND( OFFSET($A$1, 171 - 1, 57 - 1) = "1", OFFSET($A$1, 171 - 1, 58 - 1) = "1" ), 1, IF( AND( OFFSET($A$1, 171 - 1, 57 - 1) = "1", OFFSET($A$1, 171 - 1, 58 - 1) = "0" ), 2, IF( AND( OFFSET($A$1, 171 - 1, 57 - 1) = "0", OFFSET($A$1, 171 - 1, 58 - 1) = "1" ), 3, 4 ) ) )</f>
        <v>4</v>
      </c>
    </row>
    <row r="172" spans="51:59" x14ac:dyDescent="0.25">
      <c r="AY172" s="7">
        <v>0.17647058823529413</v>
      </c>
      <c r="AZ172" s="7" t="str">
        <f>"0"</f>
        <v>0</v>
      </c>
      <c r="BA172" t="str">
        <f ca="1">IF((OFFSET($A$1, 172 - 1, 51 - 1)) &gt;= (OFFSET($A$1, 77 - 1, 7 - 1)), "1","0")</f>
        <v>0</v>
      </c>
      <c r="BB172">
        <f ca="1" xml:space="preserve"> IF( AND( OFFSET($A$1, 172 - 1, 52 - 1) = "1", OFFSET($A$1, 172 - 1, 53 - 1) = "1" ), 1, IF( AND( OFFSET($A$1, 172 - 1, 52 - 1) = "1", OFFSET($A$1, 172 - 1, 53 - 1) = "0" ), 2, IF( AND( OFFSET($A$1, 172 - 1, 52 - 1) = "0", OFFSET($A$1, 172 - 1, 53 - 1) = "1" ), 3, 4 ) ) )</f>
        <v>4</v>
      </c>
      <c r="BD172" s="7">
        <v>0</v>
      </c>
      <c r="BE172" s="7" t="str">
        <f>"0"</f>
        <v>0</v>
      </c>
      <c r="BF172" t="str">
        <f ca="1">IF((OFFSET($A$1, 172 - 1, 56 - 1)) &gt;= (OFFSET($A$1, 101 - 1, 7 - 1)), "1","0")</f>
        <v>0</v>
      </c>
      <c r="BG172">
        <f ca="1" xml:space="preserve"> IF( AND( OFFSET($A$1, 172 - 1, 57 - 1) = "1", OFFSET($A$1, 172 - 1, 58 - 1) = "1" ), 1, IF( AND( OFFSET($A$1, 172 - 1, 57 - 1) = "1", OFFSET($A$1, 172 - 1, 58 - 1) = "0" ), 2, IF( AND( OFFSET($A$1, 172 - 1, 57 - 1) = "0", OFFSET($A$1, 172 - 1, 58 - 1) = "1" ), 3, 4 ) ) )</f>
        <v>4</v>
      </c>
    </row>
    <row r="173" spans="51:59" x14ac:dyDescent="0.25">
      <c r="AY173" s="7">
        <v>0.70588235294117652</v>
      </c>
      <c r="AZ173" s="7" t="str">
        <f>"0"</f>
        <v>0</v>
      </c>
      <c r="BA173" t="str">
        <f ca="1">IF((OFFSET($A$1, 173 - 1, 51 - 1)) &gt;= (OFFSET($A$1, 77 - 1, 7 - 1)), "1","0")</f>
        <v>1</v>
      </c>
      <c r="BB173">
        <f ca="1" xml:space="preserve"> IF( AND( OFFSET($A$1, 173 - 1, 52 - 1) = "1", OFFSET($A$1, 173 - 1, 53 - 1) = "1" ), 1, IF( AND( OFFSET($A$1, 173 - 1, 52 - 1) = "1", OFFSET($A$1, 173 - 1, 53 - 1) = "0" ), 2, IF( AND( OFFSET($A$1, 173 - 1, 52 - 1) = "0", OFFSET($A$1, 173 - 1, 53 - 1) = "1" ), 3, 4 ) ) )</f>
        <v>3</v>
      </c>
      <c r="BD173" s="7">
        <v>0</v>
      </c>
      <c r="BE173" s="7" t="str">
        <f>"0"</f>
        <v>0</v>
      </c>
      <c r="BF173" t="str">
        <f ca="1">IF((OFFSET($A$1, 173 - 1, 56 - 1)) &gt;= (OFFSET($A$1, 101 - 1, 7 - 1)), "1","0")</f>
        <v>0</v>
      </c>
      <c r="BG173">
        <f ca="1" xml:space="preserve"> IF( AND( OFFSET($A$1, 173 - 1, 57 - 1) = "1", OFFSET($A$1, 173 - 1, 58 - 1) = "1" ), 1, IF( AND( OFFSET($A$1, 173 - 1, 57 - 1) = "1", OFFSET($A$1, 173 - 1, 58 - 1) = "0" ), 2, IF( AND( OFFSET($A$1, 173 - 1, 57 - 1) = "0", OFFSET($A$1, 173 - 1, 58 - 1) = "1" ), 3, 4 ) ) )</f>
        <v>4</v>
      </c>
    </row>
    <row r="174" spans="51:59" x14ac:dyDescent="0.25">
      <c r="AY174" s="7">
        <v>0</v>
      </c>
      <c r="AZ174" s="7" t="str">
        <f>"0"</f>
        <v>0</v>
      </c>
      <c r="BA174" t="str">
        <f ca="1">IF((OFFSET($A$1, 174 - 1, 51 - 1)) &gt;= (OFFSET($A$1, 77 - 1, 7 - 1)), "1","0")</f>
        <v>0</v>
      </c>
      <c r="BB174">
        <f ca="1" xml:space="preserve"> IF( AND( OFFSET($A$1, 174 - 1, 52 - 1) = "1", OFFSET($A$1, 174 - 1, 53 - 1) = "1" ), 1, IF( AND( OFFSET($A$1, 174 - 1, 52 - 1) = "1", OFFSET($A$1, 174 - 1, 53 - 1) = "0" ), 2, IF( AND( OFFSET($A$1, 174 - 1, 52 - 1) = "0", OFFSET($A$1, 174 - 1, 53 - 1) = "1" ), 3, 4 ) ) )</f>
        <v>4</v>
      </c>
      <c r="BD174" s="7">
        <v>0</v>
      </c>
      <c r="BE174" s="7" t="str">
        <f>"0"</f>
        <v>0</v>
      </c>
      <c r="BF174" t="str">
        <f ca="1">IF((OFFSET($A$1, 174 - 1, 56 - 1)) &gt;= (OFFSET($A$1, 101 - 1, 7 - 1)), "1","0")</f>
        <v>0</v>
      </c>
      <c r="BG174">
        <f ca="1" xml:space="preserve"> IF( AND( OFFSET($A$1, 174 - 1, 57 - 1) = "1", OFFSET($A$1, 174 - 1, 58 - 1) = "1" ), 1, IF( AND( OFFSET($A$1, 174 - 1, 57 - 1) = "1", OFFSET($A$1, 174 - 1, 58 - 1) = "0" ), 2, IF( AND( OFFSET($A$1, 174 - 1, 57 - 1) = "0", OFFSET($A$1, 174 - 1, 58 - 1) = "1" ), 3, 4 ) ) )</f>
        <v>4</v>
      </c>
    </row>
    <row r="175" spans="51:59" x14ac:dyDescent="0.25">
      <c r="AY175" s="7">
        <v>0.17647058823529413</v>
      </c>
      <c r="AZ175" s="7" t="str">
        <f>"0"</f>
        <v>0</v>
      </c>
      <c r="BA175" t="str">
        <f ca="1">IF((OFFSET($A$1, 175 - 1, 51 - 1)) &gt;= (OFFSET($A$1, 77 - 1, 7 - 1)), "1","0")</f>
        <v>0</v>
      </c>
      <c r="BB175">
        <f ca="1" xml:space="preserve"> IF( AND( OFFSET($A$1, 175 - 1, 52 - 1) = "1", OFFSET($A$1, 175 - 1, 53 - 1) = "1" ), 1, IF( AND( OFFSET($A$1, 175 - 1, 52 - 1) = "1", OFFSET($A$1, 175 - 1, 53 - 1) = "0" ), 2, IF( AND( OFFSET($A$1, 175 - 1, 52 - 1) = "0", OFFSET($A$1, 175 - 1, 53 - 1) = "1" ), 3, 4 ) ) )</f>
        <v>4</v>
      </c>
      <c r="BD175" s="7">
        <v>0.23529411764705882</v>
      </c>
      <c r="BE175" s="7" t="str">
        <f>"1"</f>
        <v>1</v>
      </c>
      <c r="BF175" t="str">
        <f ca="1">IF((OFFSET($A$1, 175 - 1, 56 - 1)) &gt;= (OFFSET($A$1, 101 - 1, 7 - 1)), "1","0")</f>
        <v>0</v>
      </c>
      <c r="BG175">
        <f ca="1" xml:space="preserve"> IF( AND( OFFSET($A$1, 175 - 1, 57 - 1) = "1", OFFSET($A$1, 175 - 1, 58 - 1) = "1" ), 1, IF( AND( OFFSET($A$1, 175 - 1, 57 - 1) = "1", OFFSET($A$1, 175 - 1, 58 - 1) = "0" ), 2, IF( AND( OFFSET($A$1, 175 - 1, 57 - 1) = "0", OFFSET($A$1, 175 - 1, 58 - 1) = "1" ), 3, 4 ) ) )</f>
        <v>2</v>
      </c>
    </row>
    <row r="176" spans="51:59" x14ac:dyDescent="0.25">
      <c r="AY176" s="7">
        <v>0</v>
      </c>
      <c r="AZ176" s="7" t="str">
        <f>"0"</f>
        <v>0</v>
      </c>
      <c r="BA176" t="str">
        <f ca="1">IF((OFFSET($A$1, 176 - 1, 51 - 1)) &gt;= (OFFSET($A$1, 77 - 1, 7 - 1)), "1","0")</f>
        <v>0</v>
      </c>
      <c r="BB176">
        <f ca="1" xml:space="preserve"> IF( AND( OFFSET($A$1, 176 - 1, 52 - 1) = "1", OFFSET($A$1, 176 - 1, 53 - 1) = "1" ), 1, IF( AND( OFFSET($A$1, 176 - 1, 52 - 1) = "1", OFFSET($A$1, 176 - 1, 53 - 1) = "0" ), 2, IF( AND( OFFSET($A$1, 176 - 1, 52 - 1) = "0", OFFSET($A$1, 176 - 1, 53 - 1) = "1" ), 3, 4 ) ) )</f>
        <v>4</v>
      </c>
      <c r="BD176" s="7">
        <v>0.94117647058823528</v>
      </c>
      <c r="BE176" s="7" t="str">
        <f>"1"</f>
        <v>1</v>
      </c>
      <c r="BF176" t="str">
        <f ca="1">IF((OFFSET($A$1, 176 - 1, 56 - 1)) &gt;= (OFFSET($A$1, 101 - 1, 7 - 1)), "1","0")</f>
        <v>1</v>
      </c>
      <c r="BG176">
        <f ca="1" xml:space="preserve"> IF( AND( OFFSET($A$1, 176 - 1, 57 - 1) = "1", OFFSET($A$1, 176 - 1, 58 - 1) = "1" ), 1, IF( AND( OFFSET($A$1, 176 - 1, 57 - 1) = "1", OFFSET($A$1, 176 - 1, 58 - 1) = "0" ), 2, IF( AND( OFFSET($A$1, 176 - 1, 57 - 1) = "0", OFFSET($A$1, 176 - 1, 58 - 1) = "1" ), 3, 4 ) ) )</f>
        <v>1</v>
      </c>
    </row>
    <row r="177" spans="51:59" x14ac:dyDescent="0.25">
      <c r="AY177" s="7">
        <v>0.82352941176470584</v>
      </c>
      <c r="AZ177" s="7" t="str">
        <f>"1"</f>
        <v>1</v>
      </c>
      <c r="BA177" t="str">
        <f ca="1">IF((OFFSET($A$1, 177 - 1, 51 - 1)) &gt;= (OFFSET($A$1, 77 - 1, 7 - 1)), "1","0")</f>
        <v>1</v>
      </c>
      <c r="BB177">
        <f ca="1" xml:space="preserve"> IF( AND( OFFSET($A$1, 177 - 1, 52 - 1) = "1", OFFSET($A$1, 177 - 1, 53 - 1) = "1" ), 1, IF( AND( OFFSET($A$1, 177 - 1, 52 - 1) = "1", OFFSET($A$1, 177 - 1, 53 - 1) = "0" ), 2, IF( AND( OFFSET($A$1, 177 - 1, 52 - 1) = "0", OFFSET($A$1, 177 - 1, 53 - 1) = "1" ), 3, 4 ) ) )</f>
        <v>1</v>
      </c>
      <c r="BD177" s="7">
        <v>1</v>
      </c>
      <c r="BE177" s="7" t="str">
        <f>"1"</f>
        <v>1</v>
      </c>
      <c r="BF177" t="str">
        <f ca="1">IF((OFFSET($A$1, 177 - 1, 56 - 1)) &gt;= (OFFSET($A$1, 101 - 1, 7 - 1)), "1","0")</f>
        <v>1</v>
      </c>
      <c r="BG177">
        <f ca="1" xml:space="preserve"> IF( AND( OFFSET($A$1, 177 - 1, 57 - 1) = "1", OFFSET($A$1, 177 - 1, 58 - 1) = "1" ), 1, IF( AND( OFFSET($A$1, 177 - 1, 57 - 1) = "1", OFFSET($A$1, 177 - 1, 58 - 1) = "0" ), 2, IF( AND( OFFSET($A$1, 177 - 1, 57 - 1) = "0", OFFSET($A$1, 177 - 1, 58 - 1) = "1" ), 3, 4 ) ) )</f>
        <v>1</v>
      </c>
    </row>
    <row r="178" spans="51:59" x14ac:dyDescent="0.25">
      <c r="AY178" s="7">
        <v>0.88235294117647056</v>
      </c>
      <c r="AZ178" s="7" t="str">
        <f>"1"</f>
        <v>1</v>
      </c>
      <c r="BA178" t="str">
        <f ca="1">IF((OFFSET($A$1, 178 - 1, 51 - 1)) &gt;= (OFFSET($A$1, 77 - 1, 7 - 1)), "1","0")</f>
        <v>1</v>
      </c>
      <c r="BB178">
        <f ca="1" xml:space="preserve"> IF( AND( OFFSET($A$1, 178 - 1, 52 - 1) = "1", OFFSET($A$1, 178 - 1, 53 - 1) = "1" ), 1, IF( AND( OFFSET($A$1, 178 - 1, 52 - 1) = "1", OFFSET($A$1, 178 - 1, 53 - 1) = "0" ), 2, IF( AND( OFFSET($A$1, 178 - 1, 52 - 1) = "0", OFFSET($A$1, 178 - 1, 53 - 1) = "1" ), 3, 4 ) ) )</f>
        <v>1</v>
      </c>
      <c r="BD178" s="7">
        <v>0</v>
      </c>
      <c r="BE178" s="7" t="str">
        <f>"0"</f>
        <v>0</v>
      </c>
      <c r="BF178" t="str">
        <f ca="1">IF((OFFSET($A$1, 178 - 1, 56 - 1)) &gt;= (OFFSET($A$1, 101 - 1, 7 - 1)), "1","0")</f>
        <v>0</v>
      </c>
      <c r="BG178">
        <f ca="1" xml:space="preserve"> IF( AND( OFFSET($A$1, 178 - 1, 57 - 1) = "1", OFFSET($A$1, 178 - 1, 58 - 1) = "1" ), 1, IF( AND( OFFSET($A$1, 178 - 1, 57 - 1) = "1", OFFSET($A$1, 178 - 1, 58 - 1) = "0" ), 2, IF( AND( OFFSET($A$1, 178 - 1, 57 - 1) = "0", OFFSET($A$1, 178 - 1, 58 - 1) = "1" ), 3, 4 ) ) )</f>
        <v>4</v>
      </c>
    </row>
    <row r="179" spans="51:59" x14ac:dyDescent="0.25">
      <c r="AY179" s="7">
        <v>0.82352941176470584</v>
      </c>
      <c r="AZ179" s="7" t="str">
        <f>"1"</f>
        <v>1</v>
      </c>
      <c r="BA179" t="str">
        <f ca="1">IF((OFFSET($A$1, 179 - 1, 51 - 1)) &gt;= (OFFSET($A$1, 77 - 1, 7 - 1)), "1","0")</f>
        <v>1</v>
      </c>
      <c r="BB179">
        <f ca="1" xml:space="preserve"> IF( AND( OFFSET($A$1, 179 - 1, 52 - 1) = "1", OFFSET($A$1, 179 - 1, 53 - 1) = "1" ), 1, IF( AND( OFFSET($A$1, 179 - 1, 52 - 1) = "1", OFFSET($A$1, 179 - 1, 53 - 1) = "0" ), 2, IF( AND( OFFSET($A$1, 179 - 1, 52 - 1) = "0", OFFSET($A$1, 179 - 1, 53 - 1) = "1" ), 3, 4 ) ) )</f>
        <v>1</v>
      </c>
      <c r="BD179" s="7">
        <v>1</v>
      </c>
      <c r="BE179" s="7" t="str">
        <f>"1"</f>
        <v>1</v>
      </c>
      <c r="BF179" t="str">
        <f ca="1">IF((OFFSET($A$1, 179 - 1, 56 - 1)) &gt;= (OFFSET($A$1, 101 - 1, 7 - 1)), "1","0")</f>
        <v>1</v>
      </c>
      <c r="BG179">
        <f ca="1" xml:space="preserve"> IF( AND( OFFSET($A$1, 179 - 1, 57 - 1) = "1", OFFSET($A$1, 179 - 1, 58 - 1) = "1" ), 1, IF( AND( OFFSET($A$1, 179 - 1, 57 - 1) = "1", OFFSET($A$1, 179 - 1, 58 - 1) = "0" ), 2, IF( AND( OFFSET($A$1, 179 - 1, 57 - 1) = "0", OFFSET($A$1, 179 - 1, 58 - 1) = "1" ), 3, 4 ) ) )</f>
        <v>1</v>
      </c>
    </row>
    <row r="180" spans="51:59" x14ac:dyDescent="0.25">
      <c r="AY180" s="7">
        <v>1</v>
      </c>
      <c r="AZ180" s="7" t="str">
        <f>"1"</f>
        <v>1</v>
      </c>
      <c r="BA180" t="str">
        <f ca="1">IF((OFFSET($A$1, 180 - 1, 51 - 1)) &gt;= (OFFSET($A$1, 77 - 1, 7 - 1)), "1","0")</f>
        <v>1</v>
      </c>
      <c r="BB180">
        <f ca="1" xml:space="preserve"> IF( AND( OFFSET($A$1, 180 - 1, 52 - 1) = "1", OFFSET($A$1, 180 - 1, 53 - 1) = "1" ), 1, IF( AND( OFFSET($A$1, 180 - 1, 52 - 1) = "1", OFFSET($A$1, 180 - 1, 53 - 1) = "0" ), 2, IF( AND( OFFSET($A$1, 180 - 1, 52 - 1) = "0", OFFSET($A$1, 180 - 1, 53 - 1) = "1" ), 3, 4 ) ) )</f>
        <v>1</v>
      </c>
      <c r="BD180" s="7">
        <v>0.82352941176470584</v>
      </c>
      <c r="BE180" s="7" t="str">
        <f>"0"</f>
        <v>0</v>
      </c>
      <c r="BF180" t="str">
        <f ca="1">IF((OFFSET($A$1, 180 - 1, 56 - 1)) &gt;= (OFFSET($A$1, 101 - 1, 7 - 1)), "1","0")</f>
        <v>1</v>
      </c>
      <c r="BG180">
        <f ca="1" xml:space="preserve"> IF( AND( OFFSET($A$1, 180 - 1, 57 - 1) = "1", OFFSET($A$1, 180 - 1, 58 - 1) = "1" ), 1, IF( AND( OFFSET($A$1, 180 - 1, 57 - 1) = "1", OFFSET($A$1, 180 - 1, 58 - 1) = "0" ), 2, IF( AND( OFFSET($A$1, 180 - 1, 57 - 1) = "0", OFFSET($A$1, 180 - 1, 58 - 1) = "1" ), 3, 4 ) ) )</f>
        <v>3</v>
      </c>
    </row>
    <row r="181" spans="51:59" x14ac:dyDescent="0.25">
      <c r="AY181" s="7">
        <v>0.17647058823529413</v>
      </c>
      <c r="AZ181" s="7" t="str">
        <f>"1"</f>
        <v>1</v>
      </c>
      <c r="BA181" t="str">
        <f ca="1">IF((OFFSET($A$1, 181 - 1, 51 - 1)) &gt;= (OFFSET($A$1, 77 - 1, 7 - 1)), "1","0")</f>
        <v>0</v>
      </c>
      <c r="BB181">
        <f ca="1" xml:space="preserve"> IF( AND( OFFSET($A$1, 181 - 1, 52 - 1) = "1", OFFSET($A$1, 181 - 1, 53 - 1) = "1" ), 1, IF( AND( OFFSET($A$1, 181 - 1, 52 - 1) = "1", OFFSET($A$1, 181 - 1, 53 - 1) = "0" ), 2, IF( AND( OFFSET($A$1, 181 - 1, 52 - 1) = "0", OFFSET($A$1, 181 - 1, 53 - 1) = "1" ), 3, 4 ) ) )</f>
        <v>2</v>
      </c>
      <c r="BD181" s="7">
        <v>0.29411764705882354</v>
      </c>
      <c r="BE181" s="7" t="str">
        <f>"0"</f>
        <v>0</v>
      </c>
      <c r="BF181" t="str">
        <f ca="1">IF((OFFSET($A$1, 181 - 1, 56 - 1)) &gt;= (OFFSET($A$1, 101 - 1, 7 - 1)), "1","0")</f>
        <v>0</v>
      </c>
      <c r="BG181">
        <f ca="1" xml:space="preserve"> IF( AND( OFFSET($A$1, 181 - 1, 57 - 1) = "1", OFFSET($A$1, 181 - 1, 58 - 1) = "1" ), 1, IF( AND( OFFSET($A$1, 181 - 1, 57 - 1) = "1", OFFSET($A$1, 181 - 1, 58 - 1) = "0" ), 2, IF( AND( OFFSET($A$1, 181 - 1, 57 - 1) = "0", OFFSET($A$1, 181 - 1, 58 - 1) = "1" ), 3, 4 ) ) )</f>
        <v>4</v>
      </c>
    </row>
    <row r="182" spans="51:59" x14ac:dyDescent="0.25">
      <c r="AY182" s="7">
        <v>1</v>
      </c>
      <c r="AZ182" s="7" t="str">
        <f>"1"</f>
        <v>1</v>
      </c>
      <c r="BA182" t="str">
        <f ca="1">IF((OFFSET($A$1, 182 - 1, 51 - 1)) &gt;= (OFFSET($A$1, 77 - 1, 7 - 1)), "1","0")</f>
        <v>1</v>
      </c>
      <c r="BB182">
        <f ca="1" xml:space="preserve"> IF( AND( OFFSET($A$1, 182 - 1, 52 - 1) = "1", OFFSET($A$1, 182 - 1, 53 - 1) = "1" ), 1, IF( AND( OFFSET($A$1, 182 - 1, 52 - 1) = "1", OFFSET($A$1, 182 - 1, 53 - 1) = "0" ), 2, IF( AND( OFFSET($A$1, 182 - 1, 52 - 1) = "0", OFFSET($A$1, 182 - 1, 53 - 1) = "1" ), 3, 4 ) ) )</f>
        <v>1</v>
      </c>
      <c r="BD182" s="7">
        <v>0</v>
      </c>
      <c r="BE182" s="7" t="str">
        <f>"0"</f>
        <v>0</v>
      </c>
      <c r="BF182" t="str">
        <f ca="1">IF((OFFSET($A$1, 182 - 1, 56 - 1)) &gt;= (OFFSET($A$1, 101 - 1, 7 - 1)), "1","0")</f>
        <v>0</v>
      </c>
      <c r="BG182">
        <f ca="1" xml:space="preserve"> IF( AND( OFFSET($A$1, 182 - 1, 57 - 1) = "1", OFFSET($A$1, 182 - 1, 58 - 1) = "1" ), 1, IF( AND( OFFSET($A$1, 182 - 1, 57 - 1) = "1", OFFSET($A$1, 182 - 1, 58 - 1) = "0" ), 2, IF( AND( OFFSET($A$1, 182 - 1, 57 - 1) = "0", OFFSET($A$1, 182 - 1, 58 - 1) = "1" ), 3, 4 ) ) )</f>
        <v>4</v>
      </c>
    </row>
    <row r="183" spans="51:59" x14ac:dyDescent="0.25">
      <c r="AY183" s="7">
        <v>0</v>
      </c>
      <c r="AZ183" s="7" t="str">
        <f>"0"</f>
        <v>0</v>
      </c>
      <c r="BA183" t="str">
        <f ca="1">IF((OFFSET($A$1, 183 - 1, 51 - 1)) &gt;= (OFFSET($A$1, 77 - 1, 7 - 1)), "1","0")</f>
        <v>0</v>
      </c>
      <c r="BB183">
        <f ca="1" xml:space="preserve"> IF( AND( OFFSET($A$1, 183 - 1, 52 - 1) = "1", OFFSET($A$1, 183 - 1, 53 - 1) = "1" ), 1, IF( AND( OFFSET($A$1, 183 - 1, 52 - 1) = "1", OFFSET($A$1, 183 - 1, 53 - 1) = "0" ), 2, IF( AND( OFFSET($A$1, 183 - 1, 52 - 1) = "0", OFFSET($A$1, 183 - 1, 53 - 1) = "1" ), 3, 4 ) ) )</f>
        <v>4</v>
      </c>
      <c r="BD183" s="7">
        <v>1</v>
      </c>
      <c r="BE183" s="7" t="str">
        <f>"1"</f>
        <v>1</v>
      </c>
      <c r="BF183" t="str">
        <f ca="1">IF((OFFSET($A$1, 183 - 1, 56 - 1)) &gt;= (OFFSET($A$1, 101 - 1, 7 - 1)), "1","0")</f>
        <v>1</v>
      </c>
      <c r="BG183">
        <f ca="1" xml:space="preserve"> IF( AND( OFFSET($A$1, 183 - 1, 57 - 1) = "1", OFFSET($A$1, 183 - 1, 58 - 1) = "1" ), 1, IF( AND( OFFSET($A$1, 183 - 1, 57 - 1) = "1", OFFSET($A$1, 183 - 1, 58 - 1) = "0" ), 2, IF( AND( OFFSET($A$1, 183 - 1, 57 - 1) = "0", OFFSET($A$1, 183 - 1, 58 - 1) = "1" ), 3, 4 ) ) )</f>
        <v>1</v>
      </c>
    </row>
    <row r="184" spans="51:59" x14ac:dyDescent="0.25">
      <c r="AY184" s="7">
        <v>1</v>
      </c>
      <c r="AZ184" s="7" t="str">
        <f>"1"</f>
        <v>1</v>
      </c>
      <c r="BA184" t="str">
        <f ca="1">IF((OFFSET($A$1, 184 - 1, 51 - 1)) &gt;= (OFFSET($A$1, 77 - 1, 7 - 1)), "1","0")</f>
        <v>1</v>
      </c>
      <c r="BB184">
        <f ca="1" xml:space="preserve"> IF( AND( OFFSET($A$1, 184 - 1, 52 - 1) = "1", OFFSET($A$1, 184 - 1, 53 - 1) = "1" ), 1, IF( AND( OFFSET($A$1, 184 - 1, 52 - 1) = "1", OFFSET($A$1, 184 - 1, 53 - 1) = "0" ), 2, IF( AND( OFFSET($A$1, 184 - 1, 52 - 1) = "0", OFFSET($A$1, 184 - 1, 53 - 1) = "1" ), 3, 4 ) ) )</f>
        <v>1</v>
      </c>
      <c r="BD184" s="7">
        <v>0</v>
      </c>
      <c r="BE184" s="7" t="str">
        <f>"0"</f>
        <v>0</v>
      </c>
      <c r="BF184" t="str">
        <f ca="1">IF((OFFSET($A$1, 184 - 1, 56 - 1)) &gt;= (OFFSET($A$1, 101 - 1, 7 - 1)), "1","0")</f>
        <v>0</v>
      </c>
      <c r="BG184">
        <f ca="1" xml:space="preserve"> IF( AND( OFFSET($A$1, 184 - 1, 57 - 1) = "1", OFFSET($A$1, 184 - 1, 58 - 1) = "1" ), 1, IF( AND( OFFSET($A$1, 184 - 1, 57 - 1) = "1", OFFSET($A$1, 184 - 1, 58 - 1) = "0" ), 2, IF( AND( OFFSET($A$1, 184 - 1, 57 - 1) = "0", OFFSET($A$1, 184 - 1, 58 - 1) = "1" ), 3, 4 ) ) )</f>
        <v>4</v>
      </c>
    </row>
    <row r="185" spans="51:59" x14ac:dyDescent="0.25">
      <c r="AY185" s="7">
        <v>0</v>
      </c>
      <c r="AZ185" s="7" t="str">
        <f>"0"</f>
        <v>0</v>
      </c>
      <c r="BA185" t="str">
        <f ca="1">IF((OFFSET($A$1, 185 - 1, 51 - 1)) &gt;= (OFFSET($A$1, 77 - 1, 7 - 1)), "1","0")</f>
        <v>0</v>
      </c>
      <c r="BB185">
        <f ca="1" xml:space="preserve"> IF( AND( OFFSET($A$1, 185 - 1, 52 - 1) = "1", OFFSET($A$1, 185 - 1, 53 - 1) = "1" ), 1, IF( AND( OFFSET($A$1, 185 - 1, 52 - 1) = "1", OFFSET($A$1, 185 - 1, 53 - 1) = "0" ), 2, IF( AND( OFFSET($A$1, 185 - 1, 52 - 1) = "0", OFFSET($A$1, 185 - 1, 53 - 1) = "1" ), 3, 4 ) ) )</f>
        <v>4</v>
      </c>
      <c r="BD185" s="7">
        <v>0.94117647058823528</v>
      </c>
      <c r="BE185" s="7" t="str">
        <f>"1"</f>
        <v>1</v>
      </c>
      <c r="BF185" t="str">
        <f ca="1">IF((OFFSET($A$1, 185 - 1, 56 - 1)) &gt;= (OFFSET($A$1, 101 - 1, 7 - 1)), "1","0")</f>
        <v>1</v>
      </c>
      <c r="BG185">
        <f ca="1" xml:space="preserve"> IF( AND( OFFSET($A$1, 185 - 1, 57 - 1) = "1", OFFSET($A$1, 185 - 1, 58 - 1) = "1" ), 1, IF( AND( OFFSET($A$1, 185 - 1, 57 - 1) = "1", OFFSET($A$1, 185 - 1, 58 - 1) = "0" ), 2, IF( AND( OFFSET($A$1, 185 - 1, 57 - 1) = "0", OFFSET($A$1, 185 - 1, 58 - 1) = "1" ), 3, 4 ) ) )</f>
        <v>1</v>
      </c>
    </row>
    <row r="186" spans="51:59" x14ac:dyDescent="0.25">
      <c r="AY186" s="7">
        <v>0.6470588235294118</v>
      </c>
      <c r="AZ186" s="7" t="str">
        <f>"1"</f>
        <v>1</v>
      </c>
      <c r="BA186" t="str">
        <f ca="1">IF((OFFSET($A$1, 186 - 1, 51 - 1)) &gt;= (OFFSET($A$1, 77 - 1, 7 - 1)), "1","0")</f>
        <v>1</v>
      </c>
      <c r="BB186">
        <f ca="1" xml:space="preserve"> IF( AND( OFFSET($A$1, 186 - 1, 52 - 1) = "1", OFFSET($A$1, 186 - 1, 53 - 1) = "1" ), 1, IF( AND( OFFSET($A$1, 186 - 1, 52 - 1) = "1", OFFSET($A$1, 186 - 1, 53 - 1) = "0" ), 2, IF( AND( OFFSET($A$1, 186 - 1, 52 - 1) = "0", OFFSET($A$1, 186 - 1, 53 - 1) = "1" ), 3, 4 ) ) )</f>
        <v>1</v>
      </c>
      <c r="BD186" s="7">
        <v>0</v>
      </c>
      <c r="BE186" s="7" t="str">
        <f>"0"</f>
        <v>0</v>
      </c>
      <c r="BF186" t="str">
        <f ca="1">IF((OFFSET($A$1, 186 - 1, 56 - 1)) &gt;= (OFFSET($A$1, 101 - 1, 7 - 1)), "1","0")</f>
        <v>0</v>
      </c>
      <c r="BG186">
        <f ca="1" xml:space="preserve"> IF( AND( OFFSET($A$1, 186 - 1, 57 - 1) = "1", OFFSET($A$1, 186 - 1, 58 - 1) = "1" ), 1, IF( AND( OFFSET($A$1, 186 - 1, 57 - 1) = "1", OFFSET($A$1, 186 - 1, 58 - 1) = "0" ), 2, IF( AND( OFFSET($A$1, 186 - 1, 57 - 1) = "0", OFFSET($A$1, 186 - 1, 58 - 1) = "1" ), 3, 4 ) ) )</f>
        <v>4</v>
      </c>
    </row>
    <row r="187" spans="51:59" x14ac:dyDescent="0.25">
      <c r="AY187" s="7">
        <v>0</v>
      </c>
      <c r="AZ187" s="7" t="str">
        <f>"0"</f>
        <v>0</v>
      </c>
      <c r="BA187" t="str">
        <f ca="1">IF((OFFSET($A$1, 187 - 1, 51 - 1)) &gt;= (OFFSET($A$1, 77 - 1, 7 - 1)), "1","0")</f>
        <v>0</v>
      </c>
      <c r="BB187">
        <f ca="1" xml:space="preserve"> IF( AND( OFFSET($A$1, 187 - 1, 52 - 1) = "1", OFFSET($A$1, 187 - 1, 53 - 1) = "1" ), 1, IF( AND( OFFSET($A$1, 187 - 1, 52 - 1) = "1", OFFSET($A$1, 187 - 1, 53 - 1) = "0" ), 2, IF( AND( OFFSET($A$1, 187 - 1, 52 - 1) = "0", OFFSET($A$1, 187 - 1, 53 - 1) = "1" ), 3, 4 ) ) )</f>
        <v>4</v>
      </c>
      <c r="BD187" s="7">
        <v>0.70588235294117652</v>
      </c>
      <c r="BE187" s="7" t="str">
        <f>"1"</f>
        <v>1</v>
      </c>
      <c r="BF187" t="str">
        <f ca="1">IF((OFFSET($A$1, 187 - 1, 56 - 1)) &gt;= (OFFSET($A$1, 101 - 1, 7 - 1)), "1","0")</f>
        <v>1</v>
      </c>
      <c r="BG187">
        <f ca="1" xml:space="preserve"> IF( AND( OFFSET($A$1, 187 - 1, 57 - 1) = "1", OFFSET($A$1, 187 - 1, 58 - 1) = "1" ), 1, IF( AND( OFFSET($A$1, 187 - 1, 57 - 1) = "1", OFFSET($A$1, 187 - 1, 58 - 1) = "0" ), 2, IF( AND( OFFSET($A$1, 187 - 1, 57 - 1) = "0", OFFSET($A$1, 187 - 1, 58 - 1) = "1" ), 3, 4 ) ) )</f>
        <v>1</v>
      </c>
    </row>
    <row r="188" spans="51:59" x14ac:dyDescent="0.25">
      <c r="AY188" s="7">
        <v>1</v>
      </c>
      <c r="AZ188" s="7" t="str">
        <f>"1"</f>
        <v>1</v>
      </c>
      <c r="BA188" t="str">
        <f ca="1">IF((OFFSET($A$1, 188 - 1, 51 - 1)) &gt;= (OFFSET($A$1, 77 - 1, 7 - 1)), "1","0")</f>
        <v>1</v>
      </c>
      <c r="BB188">
        <f ca="1" xml:space="preserve"> IF( AND( OFFSET($A$1, 188 - 1, 52 - 1) = "1", OFFSET($A$1, 188 - 1, 53 - 1) = "1" ), 1, IF( AND( OFFSET($A$1, 188 - 1, 52 - 1) = "1", OFFSET($A$1, 188 - 1, 53 - 1) = "0" ), 2, IF( AND( OFFSET($A$1, 188 - 1, 52 - 1) = "0", OFFSET($A$1, 188 - 1, 53 - 1) = "1" ), 3, 4 ) ) )</f>
        <v>1</v>
      </c>
      <c r="BD188" s="7">
        <v>1</v>
      </c>
      <c r="BE188" s="7" t="str">
        <f>"1"</f>
        <v>1</v>
      </c>
      <c r="BF188" t="str">
        <f ca="1">IF((OFFSET($A$1, 188 - 1, 56 - 1)) &gt;= (OFFSET($A$1, 101 - 1, 7 - 1)), "1","0")</f>
        <v>1</v>
      </c>
      <c r="BG188">
        <f ca="1" xml:space="preserve"> IF( AND( OFFSET($A$1, 188 - 1, 57 - 1) = "1", OFFSET($A$1, 188 - 1, 58 - 1) = "1" ), 1, IF( AND( OFFSET($A$1, 188 - 1, 57 - 1) = "1", OFFSET($A$1, 188 - 1, 58 - 1) = "0" ), 2, IF( AND( OFFSET($A$1, 188 - 1, 57 - 1) = "0", OFFSET($A$1, 188 - 1, 58 - 1) = "1" ), 3, 4 ) ) )</f>
        <v>1</v>
      </c>
    </row>
    <row r="189" spans="51:59" x14ac:dyDescent="0.25">
      <c r="AY189" s="7">
        <v>0</v>
      </c>
      <c r="AZ189" s="7" t="str">
        <f>"0"</f>
        <v>0</v>
      </c>
      <c r="BA189" t="str">
        <f ca="1">IF((OFFSET($A$1, 189 - 1, 51 - 1)) &gt;= (OFFSET($A$1, 77 - 1, 7 - 1)), "1","0")</f>
        <v>0</v>
      </c>
      <c r="BB189">
        <f ca="1" xml:space="preserve"> IF( AND( OFFSET($A$1, 189 - 1, 52 - 1) = "1", OFFSET($A$1, 189 - 1, 53 - 1) = "1" ), 1, IF( AND( OFFSET($A$1, 189 - 1, 52 - 1) = "1", OFFSET($A$1, 189 - 1, 53 - 1) = "0" ), 2, IF( AND( OFFSET($A$1, 189 - 1, 52 - 1) = "0", OFFSET($A$1, 189 - 1, 53 - 1) = "1" ), 3, 4 ) ) )</f>
        <v>4</v>
      </c>
      <c r="BD189" s="7">
        <v>5.8823529411764705E-2</v>
      </c>
      <c r="BE189" s="7" t="str">
        <f>"0"</f>
        <v>0</v>
      </c>
      <c r="BF189" t="str">
        <f ca="1">IF((OFFSET($A$1, 189 - 1, 56 - 1)) &gt;= (OFFSET($A$1, 101 - 1, 7 - 1)), "1","0")</f>
        <v>0</v>
      </c>
      <c r="BG189">
        <f ca="1" xml:space="preserve"> IF( AND( OFFSET($A$1, 189 - 1, 57 - 1) = "1", OFFSET($A$1, 189 - 1, 58 - 1) = "1" ), 1, IF( AND( OFFSET($A$1, 189 - 1, 57 - 1) = "1", OFFSET($A$1, 189 - 1, 58 - 1) = "0" ), 2, IF( AND( OFFSET($A$1, 189 - 1, 57 - 1) = "0", OFFSET($A$1, 189 - 1, 58 - 1) = "1" ), 3, 4 ) ) )</f>
        <v>4</v>
      </c>
    </row>
    <row r="190" spans="51:59" x14ac:dyDescent="0.25">
      <c r="AY190" s="7">
        <v>1</v>
      </c>
      <c r="AZ190" s="7" t="str">
        <f>"1"</f>
        <v>1</v>
      </c>
      <c r="BA190" t="str">
        <f ca="1">IF((OFFSET($A$1, 190 - 1, 51 - 1)) &gt;= (OFFSET($A$1, 77 - 1, 7 - 1)), "1","0")</f>
        <v>1</v>
      </c>
      <c r="BB190">
        <f ca="1" xml:space="preserve"> IF( AND( OFFSET($A$1, 190 - 1, 52 - 1) = "1", OFFSET($A$1, 190 - 1, 53 - 1) = "1" ), 1, IF( AND( OFFSET($A$1, 190 - 1, 52 - 1) = "1", OFFSET($A$1, 190 - 1, 53 - 1) = "0" ), 2, IF( AND( OFFSET($A$1, 190 - 1, 52 - 1) = "0", OFFSET($A$1, 190 - 1, 53 - 1) = "1" ), 3, 4 ) ) )</f>
        <v>1</v>
      </c>
      <c r="BD190" s="7">
        <v>0</v>
      </c>
      <c r="BE190" s="7" t="str">
        <f>"0"</f>
        <v>0</v>
      </c>
      <c r="BF190" t="str">
        <f ca="1">IF((OFFSET($A$1, 190 - 1, 56 - 1)) &gt;= (OFFSET($A$1, 101 - 1, 7 - 1)), "1","0")</f>
        <v>0</v>
      </c>
      <c r="BG190">
        <f ca="1" xml:space="preserve"> IF( AND( OFFSET($A$1, 190 - 1, 57 - 1) = "1", OFFSET($A$1, 190 - 1, 58 - 1) = "1" ), 1, IF( AND( OFFSET($A$1, 190 - 1, 57 - 1) = "1", OFFSET($A$1, 190 - 1, 58 - 1) = "0" ), 2, IF( AND( OFFSET($A$1, 190 - 1, 57 - 1) = "0", OFFSET($A$1, 190 - 1, 58 - 1) = "1" ), 3, 4 ) ) )</f>
        <v>4</v>
      </c>
    </row>
    <row r="191" spans="51:59" x14ac:dyDescent="0.25">
      <c r="AY191" s="7">
        <v>0</v>
      </c>
      <c r="AZ191" s="7" t="str">
        <f>"0"</f>
        <v>0</v>
      </c>
      <c r="BA191" t="str">
        <f ca="1">IF((OFFSET($A$1, 191 - 1, 51 - 1)) &gt;= (OFFSET($A$1, 77 - 1, 7 - 1)), "1","0")</f>
        <v>0</v>
      </c>
      <c r="BB191">
        <f ca="1" xml:space="preserve"> IF( AND( OFFSET($A$1, 191 - 1, 52 - 1) = "1", OFFSET($A$1, 191 - 1, 53 - 1) = "1" ), 1, IF( AND( OFFSET($A$1, 191 - 1, 52 - 1) = "1", OFFSET($A$1, 191 - 1, 53 - 1) = "0" ), 2, IF( AND( OFFSET($A$1, 191 - 1, 52 - 1) = "0", OFFSET($A$1, 191 - 1, 53 - 1) = "1" ), 3, 4 ) ) )</f>
        <v>4</v>
      </c>
      <c r="BD191" s="7">
        <v>0.23529411764705882</v>
      </c>
      <c r="BE191" s="7" t="str">
        <f>"1"</f>
        <v>1</v>
      </c>
      <c r="BF191" t="str">
        <f ca="1">IF((OFFSET($A$1, 191 - 1, 56 - 1)) &gt;= (OFFSET($A$1, 101 - 1, 7 - 1)), "1","0")</f>
        <v>0</v>
      </c>
      <c r="BG191">
        <f ca="1" xml:space="preserve"> IF( AND( OFFSET($A$1, 191 - 1, 57 - 1) = "1", OFFSET($A$1, 191 - 1, 58 - 1) = "1" ), 1, IF( AND( OFFSET($A$1, 191 - 1, 57 - 1) = "1", OFFSET($A$1, 191 - 1, 58 - 1) = "0" ), 2, IF( AND( OFFSET($A$1, 191 - 1, 57 - 1) = "0", OFFSET($A$1, 191 - 1, 58 - 1) = "1" ), 3, 4 ) ) )</f>
        <v>2</v>
      </c>
    </row>
    <row r="192" spans="51:59" x14ac:dyDescent="0.25">
      <c r="AY192" s="7">
        <v>1</v>
      </c>
      <c r="AZ192" s="7" t="str">
        <f>"1"</f>
        <v>1</v>
      </c>
      <c r="BA192" t="str">
        <f ca="1">IF((OFFSET($A$1, 192 - 1, 51 - 1)) &gt;= (OFFSET($A$1, 77 - 1, 7 - 1)), "1","0")</f>
        <v>1</v>
      </c>
      <c r="BB192">
        <f ca="1" xml:space="preserve"> IF( AND( OFFSET($A$1, 192 - 1, 52 - 1) = "1", OFFSET($A$1, 192 - 1, 53 - 1) = "1" ), 1, IF( AND( OFFSET($A$1, 192 - 1, 52 - 1) = "1", OFFSET($A$1, 192 - 1, 53 - 1) = "0" ), 2, IF( AND( OFFSET($A$1, 192 - 1, 52 - 1) = "0", OFFSET($A$1, 192 - 1, 53 - 1) = "1" ), 3, 4 ) ) )</f>
        <v>1</v>
      </c>
      <c r="BD192" s="7">
        <v>5.8823529411764705E-2</v>
      </c>
      <c r="BE192" s="7" t="str">
        <f>"0"</f>
        <v>0</v>
      </c>
      <c r="BF192" t="str">
        <f ca="1">IF((OFFSET($A$1, 192 - 1, 56 - 1)) &gt;= (OFFSET($A$1, 101 - 1, 7 - 1)), "1","0")</f>
        <v>0</v>
      </c>
      <c r="BG192">
        <f ca="1" xml:space="preserve"> IF( AND( OFFSET($A$1, 192 - 1, 57 - 1) = "1", OFFSET($A$1, 192 - 1, 58 - 1) = "1" ), 1, IF( AND( OFFSET($A$1, 192 - 1, 57 - 1) = "1", OFFSET($A$1, 192 - 1, 58 - 1) = "0" ), 2, IF( AND( OFFSET($A$1, 192 - 1, 57 - 1) = "0", OFFSET($A$1, 192 - 1, 58 - 1) = "1" ), 3, 4 ) ) )</f>
        <v>4</v>
      </c>
    </row>
    <row r="193" spans="51:59" x14ac:dyDescent="0.25">
      <c r="AY193" s="7">
        <v>1</v>
      </c>
      <c r="AZ193" s="7" t="str">
        <f>"1"</f>
        <v>1</v>
      </c>
      <c r="BA193" t="str">
        <f ca="1">IF((OFFSET($A$1, 193 - 1, 51 - 1)) &gt;= (OFFSET($A$1, 77 - 1, 7 - 1)), "1","0")</f>
        <v>1</v>
      </c>
      <c r="BB193">
        <f ca="1" xml:space="preserve"> IF( AND( OFFSET($A$1, 193 - 1, 52 - 1) = "1", OFFSET($A$1, 193 - 1, 53 - 1) = "1" ), 1, IF( AND( OFFSET($A$1, 193 - 1, 52 - 1) = "1", OFFSET($A$1, 193 - 1, 53 - 1) = "0" ), 2, IF( AND( OFFSET($A$1, 193 - 1, 52 - 1) = "0", OFFSET($A$1, 193 - 1, 53 - 1) = "1" ), 3, 4 ) ) )</f>
        <v>1</v>
      </c>
      <c r="BD193" s="7">
        <v>0.88235294117647056</v>
      </c>
      <c r="BE193" s="7" t="str">
        <f>"1"</f>
        <v>1</v>
      </c>
      <c r="BF193" t="str">
        <f ca="1">IF((OFFSET($A$1, 193 - 1, 56 - 1)) &gt;= (OFFSET($A$1, 101 - 1, 7 - 1)), "1","0")</f>
        <v>1</v>
      </c>
      <c r="BG193">
        <f ca="1" xml:space="preserve"> IF( AND( OFFSET($A$1, 193 - 1, 57 - 1) = "1", OFFSET($A$1, 193 - 1, 58 - 1) = "1" ), 1, IF( AND( OFFSET($A$1, 193 - 1, 57 - 1) = "1", OFFSET($A$1, 193 - 1, 58 - 1) = "0" ), 2, IF( AND( OFFSET($A$1, 193 - 1, 57 - 1) = "0", OFFSET($A$1, 193 - 1, 58 - 1) = "1" ), 3, 4 ) ) )</f>
        <v>1</v>
      </c>
    </row>
    <row r="194" spans="51:59" x14ac:dyDescent="0.25">
      <c r="AY194" s="7">
        <v>0.82352941176470584</v>
      </c>
      <c r="AZ194" s="7" t="str">
        <f>"1"</f>
        <v>1</v>
      </c>
      <c r="BA194" t="str">
        <f ca="1">IF((OFFSET($A$1, 194 - 1, 51 - 1)) &gt;= (OFFSET($A$1, 77 - 1, 7 - 1)), "1","0")</f>
        <v>1</v>
      </c>
      <c r="BB194">
        <f ca="1" xml:space="preserve"> IF( AND( OFFSET($A$1, 194 - 1, 52 - 1) = "1", OFFSET($A$1, 194 - 1, 53 - 1) = "1" ), 1, IF( AND( OFFSET($A$1, 194 - 1, 52 - 1) = "1", OFFSET($A$1, 194 - 1, 53 - 1) = "0" ), 2, IF( AND( OFFSET($A$1, 194 - 1, 52 - 1) = "0", OFFSET($A$1, 194 - 1, 53 - 1) = "1" ), 3, 4 ) ) )</f>
        <v>1</v>
      </c>
      <c r="BD194" s="7">
        <v>5.8823529411764705E-2</v>
      </c>
      <c r="BE194" s="7" t="str">
        <f>"0"</f>
        <v>0</v>
      </c>
      <c r="BF194" t="str">
        <f ca="1">IF((OFFSET($A$1, 194 - 1, 56 - 1)) &gt;= (OFFSET($A$1, 101 - 1, 7 - 1)), "1","0")</f>
        <v>0</v>
      </c>
      <c r="BG194">
        <f ca="1" xml:space="preserve"> IF( AND( OFFSET($A$1, 194 - 1, 57 - 1) = "1", OFFSET($A$1, 194 - 1, 58 - 1) = "1" ), 1, IF( AND( OFFSET($A$1, 194 - 1, 57 - 1) = "1", OFFSET($A$1, 194 - 1, 58 - 1) = "0" ), 2, IF( AND( OFFSET($A$1, 194 - 1, 57 - 1) = "0", OFFSET($A$1, 194 - 1, 58 - 1) = "1" ), 3, 4 ) ) )</f>
        <v>4</v>
      </c>
    </row>
    <row r="195" spans="51:59" x14ac:dyDescent="0.25">
      <c r="AY195" s="7">
        <v>0.17647058823529413</v>
      </c>
      <c r="AZ195" s="7" t="str">
        <f>"0"</f>
        <v>0</v>
      </c>
      <c r="BA195" t="str">
        <f ca="1">IF((OFFSET($A$1, 195 - 1, 51 - 1)) &gt;= (OFFSET($A$1, 77 - 1, 7 - 1)), "1","0")</f>
        <v>0</v>
      </c>
      <c r="BB195">
        <f ca="1" xml:space="preserve"> IF( AND( OFFSET($A$1, 195 - 1, 52 - 1) = "1", OFFSET($A$1, 195 - 1, 53 - 1) = "1" ), 1, IF( AND( OFFSET($A$1, 195 - 1, 52 - 1) = "1", OFFSET($A$1, 195 - 1, 53 - 1) = "0" ), 2, IF( AND( OFFSET($A$1, 195 - 1, 52 - 1) = "0", OFFSET($A$1, 195 - 1, 53 - 1) = "1" ), 3, 4 ) ) )</f>
        <v>4</v>
      </c>
      <c r="BD195" s="7">
        <v>0.88235294117647056</v>
      </c>
      <c r="BE195" s="7" t="str">
        <f>"1"</f>
        <v>1</v>
      </c>
      <c r="BF195" t="str">
        <f ca="1">IF((OFFSET($A$1, 195 - 1, 56 - 1)) &gt;= (OFFSET($A$1, 101 - 1, 7 - 1)), "1","0")</f>
        <v>1</v>
      </c>
      <c r="BG195">
        <f ca="1" xml:space="preserve"> IF( AND( OFFSET($A$1, 195 - 1, 57 - 1) = "1", OFFSET($A$1, 195 - 1, 58 - 1) = "1" ), 1, IF( AND( OFFSET($A$1, 195 - 1, 57 - 1) = "1", OFFSET($A$1, 195 - 1, 58 - 1) = "0" ), 2, IF( AND( OFFSET($A$1, 195 - 1, 57 - 1) = "0", OFFSET($A$1, 195 - 1, 58 - 1) = "1" ), 3, 4 ) ) )</f>
        <v>1</v>
      </c>
    </row>
    <row r="196" spans="51:59" x14ac:dyDescent="0.25">
      <c r="AY196" s="7">
        <v>0.17647058823529413</v>
      </c>
      <c r="AZ196" s="7" t="str">
        <f>"0"</f>
        <v>0</v>
      </c>
      <c r="BA196" t="str">
        <f ca="1">IF((OFFSET($A$1, 196 - 1, 51 - 1)) &gt;= (OFFSET($A$1, 77 - 1, 7 - 1)), "1","0")</f>
        <v>0</v>
      </c>
      <c r="BB196">
        <f ca="1" xml:space="preserve"> IF( AND( OFFSET($A$1, 196 - 1, 52 - 1) = "1", OFFSET($A$1, 196 - 1, 53 - 1) = "1" ), 1, IF( AND( OFFSET($A$1, 196 - 1, 52 - 1) = "1", OFFSET($A$1, 196 - 1, 53 - 1) = "0" ), 2, IF( AND( OFFSET($A$1, 196 - 1, 52 - 1) = "0", OFFSET($A$1, 196 - 1, 53 - 1) = "1" ), 3, 4 ) ) )</f>
        <v>4</v>
      </c>
      <c r="BD196" s="7">
        <v>0</v>
      </c>
      <c r="BE196" s="7" t="str">
        <f>"0"</f>
        <v>0</v>
      </c>
      <c r="BF196" t="str">
        <f ca="1">IF((OFFSET($A$1, 196 - 1, 56 - 1)) &gt;= (OFFSET($A$1, 101 - 1, 7 - 1)), "1","0")</f>
        <v>0</v>
      </c>
      <c r="BG196">
        <f ca="1" xml:space="preserve"> IF( AND( OFFSET($A$1, 196 - 1, 57 - 1) = "1", OFFSET($A$1, 196 - 1, 58 - 1) = "1" ), 1, IF( AND( OFFSET($A$1, 196 - 1, 57 - 1) = "1", OFFSET($A$1, 196 - 1, 58 - 1) = "0" ), 2, IF( AND( OFFSET($A$1, 196 - 1, 57 - 1) = "0", OFFSET($A$1, 196 - 1, 58 - 1) = "1" ), 3, 4 ) ) )</f>
        <v>4</v>
      </c>
    </row>
    <row r="197" spans="51:59" x14ac:dyDescent="0.25">
      <c r="AY197" s="7">
        <v>0.82352941176470584</v>
      </c>
      <c r="AZ197" s="7" t="str">
        <f>"1"</f>
        <v>1</v>
      </c>
      <c r="BA197" t="str">
        <f ca="1">IF((OFFSET($A$1, 197 - 1, 51 - 1)) &gt;= (OFFSET($A$1, 77 - 1, 7 - 1)), "1","0")</f>
        <v>1</v>
      </c>
      <c r="BB197">
        <f ca="1" xml:space="preserve"> IF( AND( OFFSET($A$1, 197 - 1, 52 - 1) = "1", OFFSET($A$1, 197 - 1, 53 - 1) = "1" ), 1, IF( AND( OFFSET($A$1, 197 - 1, 52 - 1) = "1", OFFSET($A$1, 197 - 1, 53 - 1) = "0" ), 2, IF( AND( OFFSET($A$1, 197 - 1, 52 - 1) = "0", OFFSET($A$1, 197 - 1, 53 - 1) = "1" ), 3, 4 ) ) )</f>
        <v>1</v>
      </c>
      <c r="BD197" s="7">
        <v>0</v>
      </c>
      <c r="BE197" s="7" t="str">
        <f>"0"</f>
        <v>0</v>
      </c>
      <c r="BF197" t="str">
        <f ca="1">IF((OFFSET($A$1, 197 - 1, 56 - 1)) &gt;= (OFFSET($A$1, 101 - 1, 7 - 1)), "1","0")</f>
        <v>0</v>
      </c>
      <c r="BG197">
        <f ca="1" xml:space="preserve"> IF( AND( OFFSET($A$1, 197 - 1, 57 - 1) = "1", OFFSET($A$1, 197 - 1, 58 - 1) = "1" ), 1, IF( AND( OFFSET($A$1, 197 - 1, 57 - 1) = "1", OFFSET($A$1, 197 - 1, 58 - 1) = "0" ), 2, IF( AND( OFFSET($A$1, 197 - 1, 57 - 1) = "0", OFFSET($A$1, 197 - 1, 58 - 1) = "1" ), 3, 4 ) ) )</f>
        <v>4</v>
      </c>
    </row>
    <row r="198" spans="51:59" x14ac:dyDescent="0.25">
      <c r="AY198" s="7">
        <v>0</v>
      </c>
      <c r="AZ198" s="7" t="str">
        <f>"0"</f>
        <v>0</v>
      </c>
      <c r="BA198" t="str">
        <f ca="1">IF((OFFSET($A$1, 198 - 1, 51 - 1)) &gt;= (OFFSET($A$1, 77 - 1, 7 - 1)), "1","0")</f>
        <v>0</v>
      </c>
      <c r="BB198">
        <f ca="1" xml:space="preserve"> IF( AND( OFFSET($A$1, 198 - 1, 52 - 1) = "1", OFFSET($A$1, 198 - 1, 53 - 1) = "1" ), 1, IF( AND( OFFSET($A$1, 198 - 1, 52 - 1) = "1", OFFSET($A$1, 198 - 1, 53 - 1) = "0" ), 2, IF( AND( OFFSET($A$1, 198 - 1, 52 - 1) = "0", OFFSET($A$1, 198 - 1, 53 - 1) = "1" ), 3, 4 ) ) )</f>
        <v>4</v>
      </c>
      <c r="BD198" s="7">
        <v>0.88235294117647056</v>
      </c>
      <c r="BE198" s="7" t="str">
        <f>"1"</f>
        <v>1</v>
      </c>
      <c r="BF198" t="str">
        <f ca="1">IF((OFFSET($A$1, 198 - 1, 56 - 1)) &gt;= (OFFSET($A$1, 101 - 1, 7 - 1)), "1","0")</f>
        <v>1</v>
      </c>
      <c r="BG198">
        <f ca="1" xml:space="preserve"> IF( AND( OFFSET($A$1, 198 - 1, 57 - 1) = "1", OFFSET($A$1, 198 - 1, 58 - 1) = "1" ), 1, IF( AND( OFFSET($A$1, 198 - 1, 57 - 1) = "1", OFFSET($A$1, 198 - 1, 58 - 1) = "0" ), 2, IF( AND( OFFSET($A$1, 198 - 1, 57 - 1) = "0", OFFSET($A$1, 198 - 1, 58 - 1) = "1" ), 3, 4 ) ) )</f>
        <v>1</v>
      </c>
    </row>
    <row r="199" spans="51:59" x14ac:dyDescent="0.25">
      <c r="AY199" s="7">
        <v>0</v>
      </c>
      <c r="AZ199" s="7" t="str">
        <f>"0"</f>
        <v>0</v>
      </c>
      <c r="BA199" t="str">
        <f ca="1">IF((OFFSET($A$1, 199 - 1, 51 - 1)) &gt;= (OFFSET($A$1, 77 - 1, 7 - 1)), "1","0")</f>
        <v>0</v>
      </c>
      <c r="BB199">
        <f ca="1" xml:space="preserve"> IF( AND( OFFSET($A$1, 199 - 1, 52 - 1) = "1", OFFSET($A$1, 199 - 1, 53 - 1) = "1" ), 1, IF( AND( OFFSET($A$1, 199 - 1, 52 - 1) = "1", OFFSET($A$1, 199 - 1, 53 - 1) = "0" ), 2, IF( AND( OFFSET($A$1, 199 - 1, 52 - 1) = "0", OFFSET($A$1, 199 - 1, 53 - 1) = "1" ), 3, 4 ) ) )</f>
        <v>4</v>
      </c>
      <c r="BD199" s="7">
        <v>1</v>
      </c>
      <c r="BE199" s="7" t="str">
        <f>"1"</f>
        <v>1</v>
      </c>
      <c r="BF199" t="str">
        <f ca="1">IF((OFFSET($A$1, 199 - 1, 56 - 1)) &gt;= (OFFSET($A$1, 101 - 1, 7 - 1)), "1","0")</f>
        <v>1</v>
      </c>
      <c r="BG199">
        <f ca="1" xml:space="preserve"> IF( AND( OFFSET($A$1, 199 - 1, 57 - 1) = "1", OFFSET($A$1, 199 - 1, 58 - 1) = "1" ), 1, IF( AND( OFFSET($A$1, 199 - 1, 57 - 1) = "1", OFFSET($A$1, 199 - 1, 58 - 1) = "0" ), 2, IF( AND( OFFSET($A$1, 199 - 1, 57 - 1) = "0", OFFSET($A$1, 199 - 1, 58 - 1) = "1" ), 3, 4 ) ) )</f>
        <v>1</v>
      </c>
    </row>
    <row r="200" spans="51:59" x14ac:dyDescent="0.25">
      <c r="AY200" s="7">
        <v>1</v>
      </c>
      <c r="AZ200" s="7" t="str">
        <f>"1"</f>
        <v>1</v>
      </c>
      <c r="BA200" t="str">
        <f ca="1">IF((OFFSET($A$1, 200 - 1, 51 - 1)) &gt;= (OFFSET($A$1, 77 - 1, 7 - 1)), "1","0")</f>
        <v>1</v>
      </c>
      <c r="BB200">
        <f ca="1" xml:space="preserve"> IF( AND( OFFSET($A$1, 200 - 1, 52 - 1) = "1", OFFSET($A$1, 200 - 1, 53 - 1) = "1" ), 1, IF( AND( OFFSET($A$1, 200 - 1, 52 - 1) = "1", OFFSET($A$1, 200 - 1, 53 - 1) = "0" ), 2, IF( AND( OFFSET($A$1, 200 - 1, 52 - 1) = "0", OFFSET($A$1, 200 - 1, 53 - 1) = "1" ), 3, 4 ) ) )</f>
        <v>1</v>
      </c>
      <c r="BD200" s="7">
        <v>0.88235294117647056</v>
      </c>
      <c r="BE200" s="7" t="str">
        <f>"1"</f>
        <v>1</v>
      </c>
      <c r="BF200" t="str">
        <f ca="1">IF((OFFSET($A$1, 200 - 1, 56 - 1)) &gt;= (OFFSET($A$1, 101 - 1, 7 - 1)), "1","0")</f>
        <v>1</v>
      </c>
      <c r="BG200">
        <f ca="1" xml:space="preserve"> IF( AND( OFFSET($A$1, 200 - 1, 57 - 1) = "1", OFFSET($A$1, 200 - 1, 58 - 1) = "1" ), 1, IF( AND( OFFSET($A$1, 200 - 1, 57 - 1) = "1", OFFSET($A$1, 200 - 1, 58 - 1) = "0" ), 2, IF( AND( OFFSET($A$1, 200 - 1, 57 - 1) = "0", OFFSET($A$1, 200 - 1, 58 - 1) = "1" ), 3, 4 ) ) )</f>
        <v>1</v>
      </c>
    </row>
    <row r="201" spans="51:59" x14ac:dyDescent="0.25">
      <c r="AY201" s="7">
        <v>0</v>
      </c>
      <c r="AZ201" s="7" t="str">
        <f>"0"</f>
        <v>0</v>
      </c>
      <c r="BA201" t="str">
        <f ca="1">IF((OFFSET($A$1, 201 - 1, 51 - 1)) &gt;= (OFFSET($A$1, 77 - 1, 7 - 1)), "1","0")</f>
        <v>0</v>
      </c>
      <c r="BB201">
        <f ca="1" xml:space="preserve"> IF( AND( OFFSET($A$1, 201 - 1, 52 - 1) = "1", OFFSET($A$1, 201 - 1, 53 - 1) = "1" ), 1, IF( AND( OFFSET($A$1, 201 - 1, 52 - 1) = "1", OFFSET($A$1, 201 - 1, 53 - 1) = "0" ), 2, IF( AND( OFFSET($A$1, 201 - 1, 52 - 1) = "0", OFFSET($A$1, 201 - 1, 53 - 1) = "1" ), 3, 4 ) ) )</f>
        <v>4</v>
      </c>
      <c r="BD201" s="7">
        <v>0.23529411764705882</v>
      </c>
      <c r="BE201" s="7" t="str">
        <f>"0"</f>
        <v>0</v>
      </c>
      <c r="BF201" t="str">
        <f ca="1">IF((OFFSET($A$1, 201 - 1, 56 - 1)) &gt;= (OFFSET($A$1, 101 - 1, 7 - 1)), "1","0")</f>
        <v>0</v>
      </c>
      <c r="BG201">
        <f ca="1" xml:space="preserve"> IF( AND( OFFSET($A$1, 201 - 1, 57 - 1) = "1", OFFSET($A$1, 201 - 1, 58 - 1) = "1" ), 1, IF( AND( OFFSET($A$1, 201 - 1, 57 - 1) = "1", OFFSET($A$1, 201 - 1, 58 - 1) = "0" ), 2, IF( AND( OFFSET($A$1, 201 - 1, 57 - 1) = "0", OFFSET($A$1, 201 - 1, 58 - 1) = "1" ), 3, 4 ) ) )</f>
        <v>4</v>
      </c>
    </row>
    <row r="202" spans="51:59" x14ac:dyDescent="0.25">
      <c r="AY202" s="7">
        <v>0</v>
      </c>
      <c r="AZ202" s="7" t="str">
        <f>"0"</f>
        <v>0</v>
      </c>
      <c r="BA202" t="str">
        <f ca="1">IF((OFFSET($A$1, 202 - 1, 51 - 1)) &gt;= (OFFSET($A$1, 77 - 1, 7 - 1)), "1","0")</f>
        <v>0</v>
      </c>
      <c r="BB202">
        <f ca="1" xml:space="preserve"> IF( AND( OFFSET($A$1, 202 - 1, 52 - 1) = "1", OFFSET($A$1, 202 - 1, 53 - 1) = "1" ), 1, IF( AND( OFFSET($A$1, 202 - 1, 52 - 1) = "1", OFFSET($A$1, 202 - 1, 53 - 1) = "0" ), 2, IF( AND( OFFSET($A$1, 202 - 1, 52 - 1) = "0", OFFSET($A$1, 202 - 1, 53 - 1) = "1" ), 3, 4 ) ) )</f>
        <v>4</v>
      </c>
      <c r="BD202" s="7">
        <v>0</v>
      </c>
      <c r="BE202" s="7" t="str">
        <f>"0"</f>
        <v>0</v>
      </c>
      <c r="BF202" t="str">
        <f ca="1">IF((OFFSET($A$1, 202 - 1, 56 - 1)) &gt;= (OFFSET($A$1, 101 - 1, 7 - 1)), "1","0")</f>
        <v>0</v>
      </c>
      <c r="BG202">
        <f ca="1" xml:space="preserve"> IF( AND( OFFSET($A$1, 202 - 1, 57 - 1) = "1", OFFSET($A$1, 202 - 1, 58 - 1) = "1" ), 1, IF( AND( OFFSET($A$1, 202 - 1, 57 - 1) = "1", OFFSET($A$1, 202 - 1, 58 - 1) = "0" ), 2, IF( AND( OFFSET($A$1, 202 - 1, 57 - 1) = "0", OFFSET($A$1, 202 - 1, 58 - 1) = "1" ), 3, 4 ) ) )</f>
        <v>4</v>
      </c>
    </row>
    <row r="203" spans="51:59" x14ac:dyDescent="0.25">
      <c r="AY203" s="7">
        <v>0</v>
      </c>
      <c r="AZ203" s="7" t="str">
        <f>"0"</f>
        <v>0</v>
      </c>
      <c r="BA203" t="str">
        <f ca="1">IF((OFFSET($A$1, 203 - 1, 51 - 1)) &gt;= (OFFSET($A$1, 77 - 1, 7 - 1)), "1","0")</f>
        <v>0</v>
      </c>
      <c r="BB203">
        <f ca="1" xml:space="preserve"> IF( AND( OFFSET($A$1, 203 - 1, 52 - 1) = "1", OFFSET($A$1, 203 - 1, 53 - 1) = "1" ), 1, IF( AND( OFFSET($A$1, 203 - 1, 52 - 1) = "1", OFFSET($A$1, 203 - 1, 53 - 1) = "0" ), 2, IF( AND( OFFSET($A$1, 203 - 1, 52 - 1) = "0", OFFSET($A$1, 203 - 1, 53 - 1) = "1" ), 3, 4 ) ) )</f>
        <v>4</v>
      </c>
      <c r="BD203" s="7">
        <v>0.23529411764705882</v>
      </c>
      <c r="BE203" s="7" t="str">
        <f>"0"</f>
        <v>0</v>
      </c>
      <c r="BF203" t="str">
        <f ca="1">IF((OFFSET($A$1, 203 - 1, 56 - 1)) &gt;= (OFFSET($A$1, 101 - 1, 7 - 1)), "1","0")</f>
        <v>0</v>
      </c>
      <c r="BG203">
        <f ca="1" xml:space="preserve"> IF( AND( OFFSET($A$1, 203 - 1, 57 - 1) = "1", OFFSET($A$1, 203 - 1, 58 - 1) = "1" ), 1, IF( AND( OFFSET($A$1, 203 - 1, 57 - 1) = "1", OFFSET($A$1, 203 - 1, 58 - 1) = "0" ), 2, IF( AND( OFFSET($A$1, 203 - 1, 57 - 1) = "0", OFFSET($A$1, 203 - 1, 58 - 1) = "1" ), 3, 4 ) ) )</f>
        <v>4</v>
      </c>
    </row>
    <row r="204" spans="51:59" x14ac:dyDescent="0.25">
      <c r="AY204" s="7">
        <v>0.35294117647058826</v>
      </c>
      <c r="AZ204" s="7" t="str">
        <f>"1"</f>
        <v>1</v>
      </c>
      <c r="BA204" t="str">
        <f ca="1">IF((OFFSET($A$1, 204 - 1, 51 - 1)) &gt;= (OFFSET($A$1, 77 - 1, 7 - 1)), "1","0")</f>
        <v>0</v>
      </c>
      <c r="BB204">
        <f ca="1" xml:space="preserve"> IF( AND( OFFSET($A$1, 204 - 1, 52 - 1) = "1", OFFSET($A$1, 204 - 1, 53 - 1) = "1" ), 1, IF( AND( OFFSET($A$1, 204 - 1, 52 - 1) = "1", OFFSET($A$1, 204 - 1, 53 - 1) = "0" ), 2, IF( AND( OFFSET($A$1, 204 - 1, 52 - 1) = "0", OFFSET($A$1, 204 - 1, 53 - 1) = "1" ), 3, 4 ) ) )</f>
        <v>2</v>
      </c>
      <c r="BD204" s="7">
        <v>1</v>
      </c>
      <c r="BE204" s="7" t="str">
        <f>"1"</f>
        <v>1</v>
      </c>
      <c r="BF204" t="str">
        <f ca="1">IF((OFFSET($A$1, 204 - 1, 56 - 1)) &gt;= (OFFSET($A$1, 101 - 1, 7 - 1)), "1","0")</f>
        <v>1</v>
      </c>
      <c r="BG204">
        <f ca="1" xml:space="preserve"> IF( AND( OFFSET($A$1, 204 - 1, 57 - 1) = "1", OFFSET($A$1, 204 - 1, 58 - 1) = "1" ), 1, IF( AND( OFFSET($A$1, 204 - 1, 57 - 1) = "1", OFFSET($A$1, 204 - 1, 58 - 1) = "0" ), 2, IF( AND( OFFSET($A$1, 204 - 1, 57 - 1) = "0", OFFSET($A$1, 204 - 1, 58 - 1) = "1" ), 3, 4 ) ) )</f>
        <v>1</v>
      </c>
    </row>
    <row r="205" spans="51:59" x14ac:dyDescent="0.25">
      <c r="AY205" s="7">
        <v>0.94117647058823528</v>
      </c>
      <c r="AZ205" s="7" t="str">
        <f>"1"</f>
        <v>1</v>
      </c>
      <c r="BA205" t="str">
        <f ca="1">IF((OFFSET($A$1, 205 - 1, 51 - 1)) &gt;= (OFFSET($A$1, 77 - 1, 7 - 1)), "1","0")</f>
        <v>1</v>
      </c>
      <c r="BB205">
        <f ca="1" xml:space="preserve"> IF( AND( OFFSET($A$1, 205 - 1, 52 - 1) = "1", OFFSET($A$1, 205 - 1, 53 - 1) = "1" ), 1, IF( AND( OFFSET($A$1, 205 - 1, 52 - 1) = "1", OFFSET($A$1, 205 - 1, 53 - 1) = "0" ), 2, IF( AND( OFFSET($A$1, 205 - 1, 52 - 1) = "0", OFFSET($A$1, 205 - 1, 53 - 1) = "1" ), 3, 4 ) ) )</f>
        <v>1</v>
      </c>
      <c r="BD205" s="7">
        <v>0</v>
      </c>
      <c r="BE205" s="7" t="str">
        <f>"0"</f>
        <v>0</v>
      </c>
      <c r="BF205" t="str">
        <f ca="1">IF((OFFSET($A$1, 205 - 1, 56 - 1)) &gt;= (OFFSET($A$1, 101 - 1, 7 - 1)), "1","0")</f>
        <v>0</v>
      </c>
      <c r="BG205">
        <f ca="1" xml:space="preserve"> IF( AND( OFFSET($A$1, 205 - 1, 57 - 1) = "1", OFFSET($A$1, 205 - 1, 58 - 1) = "1" ), 1, IF( AND( OFFSET($A$1, 205 - 1, 57 - 1) = "1", OFFSET($A$1, 205 - 1, 58 - 1) = "0" ), 2, IF( AND( OFFSET($A$1, 205 - 1, 57 - 1) = "0", OFFSET($A$1, 205 - 1, 58 - 1) = "1" ), 3, 4 ) ) )</f>
        <v>4</v>
      </c>
    </row>
    <row r="206" spans="51:59" x14ac:dyDescent="0.25">
      <c r="AY206" s="7">
        <v>0</v>
      </c>
      <c r="AZ206" s="7" t="str">
        <f>"0"</f>
        <v>0</v>
      </c>
      <c r="BA206" t="str">
        <f ca="1">IF((OFFSET($A$1, 206 - 1, 51 - 1)) &gt;= (OFFSET($A$1, 77 - 1, 7 - 1)), "1","0")</f>
        <v>0</v>
      </c>
      <c r="BB206">
        <f ca="1" xml:space="preserve"> IF( AND( OFFSET($A$1, 206 - 1, 52 - 1) = "1", OFFSET($A$1, 206 - 1, 53 - 1) = "1" ), 1, IF( AND( OFFSET($A$1, 206 - 1, 52 - 1) = "1", OFFSET($A$1, 206 - 1, 53 - 1) = "0" ), 2, IF( AND( OFFSET($A$1, 206 - 1, 52 - 1) = "0", OFFSET($A$1, 206 - 1, 53 - 1) = "1" ), 3, 4 ) ) )</f>
        <v>4</v>
      </c>
      <c r="BD206" s="7">
        <v>0</v>
      </c>
      <c r="BE206" s="7" t="str">
        <f>"0"</f>
        <v>0</v>
      </c>
      <c r="BF206" t="str">
        <f ca="1">IF((OFFSET($A$1, 206 - 1, 56 - 1)) &gt;= (OFFSET($A$1, 101 - 1, 7 - 1)), "1","0")</f>
        <v>0</v>
      </c>
      <c r="BG206">
        <f ca="1" xml:space="preserve"> IF( AND( OFFSET($A$1, 206 - 1, 57 - 1) = "1", OFFSET($A$1, 206 - 1, 58 - 1) = "1" ), 1, IF( AND( OFFSET($A$1, 206 - 1, 57 - 1) = "1", OFFSET($A$1, 206 - 1, 58 - 1) = "0" ), 2, IF( AND( OFFSET($A$1, 206 - 1, 57 - 1) = "0", OFFSET($A$1, 206 - 1, 58 - 1) = "1" ), 3, 4 ) ) )</f>
        <v>4</v>
      </c>
    </row>
    <row r="207" spans="51:59" x14ac:dyDescent="0.25">
      <c r="AY207" s="7">
        <v>0.82352941176470584</v>
      </c>
      <c r="AZ207" s="7" t="str">
        <f>"0"</f>
        <v>0</v>
      </c>
      <c r="BA207" t="str">
        <f ca="1">IF((OFFSET($A$1, 207 - 1, 51 - 1)) &gt;= (OFFSET($A$1, 77 - 1, 7 - 1)), "1","0")</f>
        <v>1</v>
      </c>
      <c r="BB207">
        <f ca="1" xml:space="preserve"> IF( AND( OFFSET($A$1, 207 - 1, 52 - 1) = "1", OFFSET($A$1, 207 - 1, 53 - 1) = "1" ), 1, IF( AND( OFFSET($A$1, 207 - 1, 52 - 1) = "1", OFFSET($A$1, 207 - 1, 53 - 1) = "0" ), 2, IF( AND( OFFSET($A$1, 207 - 1, 52 - 1) = "0", OFFSET($A$1, 207 - 1, 53 - 1) = "1" ), 3, 4 ) ) )</f>
        <v>3</v>
      </c>
      <c r="BD207" s="7">
        <v>1</v>
      </c>
      <c r="BE207" s="7" t="str">
        <f>"1"</f>
        <v>1</v>
      </c>
      <c r="BF207" t="str">
        <f ca="1">IF((OFFSET($A$1, 207 - 1, 56 - 1)) &gt;= (OFFSET($A$1, 101 - 1, 7 - 1)), "1","0")</f>
        <v>1</v>
      </c>
      <c r="BG207">
        <f ca="1" xml:space="preserve"> IF( AND( OFFSET($A$1, 207 - 1, 57 - 1) = "1", OFFSET($A$1, 207 - 1, 58 - 1) = "1" ), 1, IF( AND( OFFSET($A$1, 207 - 1, 57 - 1) = "1", OFFSET($A$1, 207 - 1, 58 - 1) = "0" ), 2, IF( AND( OFFSET($A$1, 207 - 1, 57 - 1) = "0", OFFSET($A$1, 207 - 1, 58 - 1) = "1" ), 3, 4 ) ) )</f>
        <v>1</v>
      </c>
    </row>
    <row r="208" spans="51:59" x14ac:dyDescent="0.25">
      <c r="AY208" s="7">
        <v>0</v>
      </c>
      <c r="AZ208" s="7" t="str">
        <f>"0"</f>
        <v>0</v>
      </c>
      <c r="BA208" t="str">
        <f ca="1">IF((OFFSET($A$1, 208 - 1, 51 - 1)) &gt;= (OFFSET($A$1, 77 - 1, 7 - 1)), "1","0")</f>
        <v>0</v>
      </c>
      <c r="BB208">
        <f ca="1" xml:space="preserve"> IF( AND( OFFSET($A$1, 208 - 1, 52 - 1) = "1", OFFSET($A$1, 208 - 1, 53 - 1) = "1" ), 1, IF( AND( OFFSET($A$1, 208 - 1, 52 - 1) = "1", OFFSET($A$1, 208 - 1, 53 - 1) = "0" ), 2, IF( AND( OFFSET($A$1, 208 - 1, 52 - 1) = "0", OFFSET($A$1, 208 - 1, 53 - 1) = "1" ), 3, 4 ) ) )</f>
        <v>4</v>
      </c>
      <c r="BD208" s="7">
        <v>0.88235294117647056</v>
      </c>
      <c r="BE208" s="7" t="str">
        <f>"1"</f>
        <v>1</v>
      </c>
      <c r="BF208" t="str">
        <f ca="1">IF((OFFSET($A$1, 208 - 1, 56 - 1)) &gt;= (OFFSET($A$1, 101 - 1, 7 - 1)), "1","0")</f>
        <v>1</v>
      </c>
      <c r="BG208">
        <f ca="1" xml:space="preserve"> IF( AND( OFFSET($A$1, 208 - 1, 57 - 1) = "1", OFFSET($A$1, 208 - 1, 58 - 1) = "1" ), 1, IF( AND( OFFSET($A$1, 208 - 1, 57 - 1) = "1", OFFSET($A$1, 208 - 1, 58 - 1) = "0" ), 2, IF( AND( OFFSET($A$1, 208 - 1, 57 - 1) = "0", OFFSET($A$1, 208 - 1, 58 - 1) = "1" ), 3, 4 ) ) )</f>
        <v>1</v>
      </c>
    </row>
    <row r="209" spans="51:59" x14ac:dyDescent="0.25">
      <c r="AY209" s="7">
        <v>0</v>
      </c>
      <c r="AZ209" s="7" t="str">
        <f>"0"</f>
        <v>0</v>
      </c>
      <c r="BA209" t="str">
        <f ca="1">IF((OFFSET($A$1, 209 - 1, 51 - 1)) &gt;= (OFFSET($A$1, 77 - 1, 7 - 1)), "1","0")</f>
        <v>0</v>
      </c>
      <c r="BB209">
        <f ca="1" xml:space="preserve"> IF( AND( OFFSET($A$1, 209 - 1, 52 - 1) = "1", OFFSET($A$1, 209 - 1, 53 - 1) = "1" ), 1, IF( AND( OFFSET($A$1, 209 - 1, 52 - 1) = "1", OFFSET($A$1, 209 - 1, 53 - 1) = "0" ), 2, IF( AND( OFFSET($A$1, 209 - 1, 52 - 1) = "0", OFFSET($A$1, 209 - 1, 53 - 1) = "1" ), 3, 4 ) ) )</f>
        <v>4</v>
      </c>
      <c r="BD209" s="7">
        <v>0.23529411764705882</v>
      </c>
      <c r="BE209" s="7" t="str">
        <f>"1"</f>
        <v>1</v>
      </c>
      <c r="BF209" t="str">
        <f ca="1">IF((OFFSET($A$1, 209 - 1, 56 - 1)) &gt;= (OFFSET($A$1, 101 - 1, 7 - 1)), "1","0")</f>
        <v>0</v>
      </c>
      <c r="BG209">
        <f ca="1" xml:space="preserve"> IF( AND( OFFSET($A$1, 209 - 1, 57 - 1) = "1", OFFSET($A$1, 209 - 1, 58 - 1) = "1" ), 1, IF( AND( OFFSET($A$1, 209 - 1, 57 - 1) = "1", OFFSET($A$1, 209 - 1, 58 - 1) = "0" ), 2, IF( AND( OFFSET($A$1, 209 - 1, 57 - 1) = "0", OFFSET($A$1, 209 - 1, 58 - 1) = "1" ), 3, 4 ) ) )</f>
        <v>2</v>
      </c>
    </row>
    <row r="210" spans="51:59" x14ac:dyDescent="0.25">
      <c r="AY210" s="7">
        <v>0</v>
      </c>
      <c r="AZ210" s="7" t="str">
        <f>"0"</f>
        <v>0</v>
      </c>
      <c r="BA210" t="str">
        <f ca="1">IF((OFFSET($A$1, 210 - 1, 51 - 1)) &gt;= (OFFSET($A$1, 77 - 1, 7 - 1)), "1","0")</f>
        <v>0</v>
      </c>
      <c r="BB210">
        <f ca="1" xml:space="preserve"> IF( AND( OFFSET($A$1, 210 - 1, 52 - 1) = "1", OFFSET($A$1, 210 - 1, 53 - 1) = "1" ), 1, IF( AND( OFFSET($A$1, 210 - 1, 52 - 1) = "1", OFFSET($A$1, 210 - 1, 53 - 1) = "0" ), 2, IF( AND( OFFSET($A$1, 210 - 1, 52 - 1) = "0", OFFSET($A$1, 210 - 1, 53 - 1) = "1" ), 3, 4 ) ) )</f>
        <v>4</v>
      </c>
      <c r="BD210" s="7">
        <v>0</v>
      </c>
      <c r="BE210" s="7" t="str">
        <f>"0"</f>
        <v>0</v>
      </c>
      <c r="BF210" t="str">
        <f ca="1">IF((OFFSET($A$1, 210 - 1, 56 - 1)) &gt;= (OFFSET($A$1, 101 - 1, 7 - 1)), "1","0")</f>
        <v>0</v>
      </c>
      <c r="BG210">
        <f ca="1" xml:space="preserve"> IF( AND( OFFSET($A$1, 210 - 1, 57 - 1) = "1", OFFSET($A$1, 210 - 1, 58 - 1) = "1" ), 1, IF( AND( OFFSET($A$1, 210 - 1, 57 - 1) = "1", OFFSET($A$1, 210 - 1, 58 - 1) = "0" ), 2, IF( AND( OFFSET($A$1, 210 - 1, 57 - 1) = "0", OFFSET($A$1, 210 - 1, 58 - 1) = "1" ), 3, 4 ) ) )</f>
        <v>4</v>
      </c>
    </row>
    <row r="211" spans="51:59" x14ac:dyDescent="0.25">
      <c r="AY211" s="7">
        <v>0.23529411764705882</v>
      </c>
      <c r="AZ211" s="7" t="str">
        <f>"0"</f>
        <v>0</v>
      </c>
      <c r="BA211" t="str">
        <f ca="1">IF((OFFSET($A$1, 211 - 1, 51 - 1)) &gt;= (OFFSET($A$1, 77 - 1, 7 - 1)), "1","0")</f>
        <v>0</v>
      </c>
      <c r="BB211">
        <f ca="1" xml:space="preserve"> IF( AND( OFFSET($A$1, 211 - 1, 52 - 1) = "1", OFFSET($A$1, 211 - 1, 53 - 1) = "1" ), 1, IF( AND( OFFSET($A$1, 211 - 1, 52 - 1) = "1", OFFSET($A$1, 211 - 1, 53 - 1) = "0" ), 2, IF( AND( OFFSET($A$1, 211 - 1, 52 - 1) = "0", OFFSET($A$1, 211 - 1, 53 - 1) = "1" ), 3, 4 ) ) )</f>
        <v>4</v>
      </c>
      <c r="BD211" s="7">
        <v>0.23529411764705882</v>
      </c>
      <c r="BE211" s="7" t="str">
        <f>"0"</f>
        <v>0</v>
      </c>
      <c r="BF211" t="str">
        <f ca="1">IF((OFFSET($A$1, 211 - 1, 56 - 1)) &gt;= (OFFSET($A$1, 101 - 1, 7 - 1)), "1","0")</f>
        <v>0</v>
      </c>
      <c r="BG211">
        <f ca="1" xml:space="preserve"> IF( AND( OFFSET($A$1, 211 - 1, 57 - 1) = "1", OFFSET($A$1, 211 - 1, 58 - 1) = "1" ), 1, IF( AND( OFFSET($A$1, 211 - 1, 57 - 1) = "1", OFFSET($A$1, 211 - 1, 58 - 1) = "0" ), 2, IF( AND( OFFSET($A$1, 211 - 1, 57 - 1) = "0", OFFSET($A$1, 211 - 1, 58 - 1) = "1" ), 3, 4 ) ) )</f>
        <v>4</v>
      </c>
    </row>
    <row r="212" spans="51:59" x14ac:dyDescent="0.25">
      <c r="AY212" s="7">
        <v>0.41176470588235292</v>
      </c>
      <c r="AZ212" s="7" t="str">
        <f>"1"</f>
        <v>1</v>
      </c>
      <c r="BA212" t="str">
        <f ca="1">IF((OFFSET($A$1, 212 - 1, 51 - 1)) &gt;= (OFFSET($A$1, 77 - 1, 7 - 1)), "1","0")</f>
        <v>0</v>
      </c>
      <c r="BB212">
        <f ca="1" xml:space="preserve"> IF( AND( OFFSET($A$1, 212 - 1, 52 - 1) = "1", OFFSET($A$1, 212 - 1, 53 - 1) = "1" ), 1, IF( AND( OFFSET($A$1, 212 - 1, 52 - 1) = "1", OFFSET($A$1, 212 - 1, 53 - 1) = "0" ), 2, IF( AND( OFFSET($A$1, 212 - 1, 52 - 1) = "0", OFFSET($A$1, 212 - 1, 53 - 1) = "1" ), 3, 4 ) ) )</f>
        <v>2</v>
      </c>
      <c r="BD212" s="7">
        <v>0</v>
      </c>
      <c r="BE212" s="7" t="str">
        <f>"0"</f>
        <v>0</v>
      </c>
      <c r="BF212" t="str">
        <f ca="1">IF((OFFSET($A$1, 212 - 1, 56 - 1)) &gt;= (OFFSET($A$1, 101 - 1, 7 - 1)), "1","0")</f>
        <v>0</v>
      </c>
      <c r="BG212">
        <f ca="1" xml:space="preserve"> IF( AND( OFFSET($A$1, 212 - 1, 57 - 1) = "1", OFFSET($A$1, 212 - 1, 58 - 1) = "1" ), 1, IF( AND( OFFSET($A$1, 212 - 1, 57 - 1) = "1", OFFSET($A$1, 212 - 1, 58 - 1) = "0" ), 2, IF( AND( OFFSET($A$1, 212 - 1, 57 - 1) = "0", OFFSET($A$1, 212 - 1, 58 - 1) = "1" ), 3, 4 ) ) )</f>
        <v>4</v>
      </c>
    </row>
    <row r="213" spans="51:59" x14ac:dyDescent="0.25">
      <c r="AY213" s="7">
        <v>0</v>
      </c>
      <c r="AZ213" s="7" t="str">
        <f>"0"</f>
        <v>0</v>
      </c>
      <c r="BA213" t="str">
        <f ca="1">IF((OFFSET($A$1, 213 - 1, 51 - 1)) &gt;= (OFFSET($A$1, 77 - 1, 7 - 1)), "1","0")</f>
        <v>0</v>
      </c>
      <c r="BB213">
        <f ca="1" xml:space="preserve"> IF( AND( OFFSET($A$1, 213 - 1, 52 - 1) = "1", OFFSET($A$1, 213 - 1, 53 - 1) = "1" ), 1, IF( AND( OFFSET($A$1, 213 - 1, 52 - 1) = "1", OFFSET($A$1, 213 - 1, 53 - 1) = "0" ), 2, IF( AND( OFFSET($A$1, 213 - 1, 52 - 1) = "0", OFFSET($A$1, 213 - 1, 53 - 1) = "1" ), 3, 4 ) ) )</f>
        <v>4</v>
      </c>
      <c r="BD213" s="7">
        <v>1</v>
      </c>
      <c r="BE213" s="7" t="str">
        <f>"1"</f>
        <v>1</v>
      </c>
      <c r="BF213" t="str">
        <f ca="1">IF((OFFSET($A$1, 213 - 1, 56 - 1)) &gt;= (OFFSET($A$1, 101 - 1, 7 - 1)), "1","0")</f>
        <v>1</v>
      </c>
      <c r="BG213">
        <f ca="1" xml:space="preserve"> IF( AND( OFFSET($A$1, 213 - 1, 57 - 1) = "1", OFFSET($A$1, 213 - 1, 58 - 1) = "1" ), 1, IF( AND( OFFSET($A$1, 213 - 1, 57 - 1) = "1", OFFSET($A$1, 213 - 1, 58 - 1) = "0" ), 2, IF( AND( OFFSET($A$1, 213 - 1, 57 - 1) = "0", OFFSET($A$1, 213 - 1, 58 - 1) = "1" ), 3, 4 ) ) )</f>
        <v>1</v>
      </c>
    </row>
    <row r="214" spans="51:59" x14ac:dyDescent="0.25">
      <c r="AY214" s="7">
        <v>0.41176470588235292</v>
      </c>
      <c r="AZ214" s="7" t="str">
        <f>"1"</f>
        <v>1</v>
      </c>
      <c r="BA214" t="str">
        <f ca="1">IF((OFFSET($A$1, 214 - 1, 51 - 1)) &gt;= (OFFSET($A$1, 77 - 1, 7 - 1)), "1","0")</f>
        <v>0</v>
      </c>
      <c r="BB214">
        <f ca="1" xml:space="preserve"> IF( AND( OFFSET($A$1, 214 - 1, 52 - 1) = "1", OFFSET($A$1, 214 - 1, 53 - 1) = "1" ), 1, IF( AND( OFFSET($A$1, 214 - 1, 52 - 1) = "1", OFFSET($A$1, 214 - 1, 53 - 1) = "0" ), 2, IF( AND( OFFSET($A$1, 214 - 1, 52 - 1) = "0", OFFSET($A$1, 214 - 1, 53 - 1) = "1" ), 3, 4 ) ) )</f>
        <v>2</v>
      </c>
      <c r="BD214" s="7">
        <v>0</v>
      </c>
      <c r="BE214" s="7" t="str">
        <f>"0"</f>
        <v>0</v>
      </c>
      <c r="BF214" t="str">
        <f ca="1">IF((OFFSET($A$1, 214 - 1, 56 - 1)) &gt;= (OFFSET($A$1, 101 - 1, 7 - 1)), "1","0")</f>
        <v>0</v>
      </c>
      <c r="BG214">
        <f ca="1" xml:space="preserve"> IF( AND( OFFSET($A$1, 214 - 1, 57 - 1) = "1", OFFSET($A$1, 214 - 1, 58 - 1) = "1" ), 1, IF( AND( OFFSET($A$1, 214 - 1, 57 - 1) = "1", OFFSET($A$1, 214 - 1, 58 - 1) = "0" ), 2, IF( AND( OFFSET($A$1, 214 - 1, 57 - 1) = "0", OFFSET($A$1, 214 - 1, 58 - 1) = "1" ), 3, 4 ) ) )</f>
        <v>4</v>
      </c>
    </row>
    <row r="215" spans="51:59" x14ac:dyDescent="0.25">
      <c r="AY215" s="7">
        <v>5.8823529411764705E-2</v>
      </c>
      <c r="AZ215" s="7" t="str">
        <f>"0"</f>
        <v>0</v>
      </c>
      <c r="BA215" t="str">
        <f ca="1">IF((OFFSET($A$1, 215 - 1, 51 - 1)) &gt;= (OFFSET($A$1, 77 - 1, 7 - 1)), "1","0")</f>
        <v>0</v>
      </c>
      <c r="BB215">
        <f ca="1" xml:space="preserve"> IF( AND( OFFSET($A$1, 215 - 1, 52 - 1) = "1", OFFSET($A$1, 215 - 1, 53 - 1) = "1" ), 1, IF( AND( OFFSET($A$1, 215 - 1, 52 - 1) = "1", OFFSET($A$1, 215 - 1, 53 - 1) = "0" ), 2, IF( AND( OFFSET($A$1, 215 - 1, 52 - 1) = "0", OFFSET($A$1, 215 - 1, 53 - 1) = "1" ), 3, 4 ) ) )</f>
        <v>4</v>
      </c>
      <c r="BD215" s="7">
        <v>0</v>
      </c>
      <c r="BE215" s="7" t="str">
        <f>"0"</f>
        <v>0</v>
      </c>
      <c r="BF215" t="str">
        <f ca="1">IF((OFFSET($A$1, 215 - 1, 56 - 1)) &gt;= (OFFSET($A$1, 101 - 1, 7 - 1)), "1","0")</f>
        <v>0</v>
      </c>
      <c r="BG215">
        <f ca="1" xml:space="preserve"> IF( AND( OFFSET($A$1, 215 - 1, 57 - 1) = "1", OFFSET($A$1, 215 - 1, 58 - 1) = "1" ), 1, IF( AND( OFFSET($A$1, 215 - 1, 57 - 1) = "1", OFFSET($A$1, 215 - 1, 58 - 1) = "0" ), 2, IF( AND( OFFSET($A$1, 215 - 1, 57 - 1) = "0", OFFSET($A$1, 215 - 1, 58 - 1) = "1" ), 3, 4 ) ) )</f>
        <v>4</v>
      </c>
    </row>
    <row r="216" spans="51:59" x14ac:dyDescent="0.25">
      <c r="AY216" s="7">
        <v>0</v>
      </c>
      <c r="AZ216" s="7" t="str">
        <f>"0"</f>
        <v>0</v>
      </c>
      <c r="BA216" t="str">
        <f ca="1">IF((OFFSET($A$1, 216 - 1, 51 - 1)) &gt;= (OFFSET($A$1, 77 - 1, 7 - 1)), "1","0")</f>
        <v>0</v>
      </c>
      <c r="BB216">
        <f ca="1" xml:space="preserve"> IF( AND( OFFSET($A$1, 216 - 1, 52 - 1) = "1", OFFSET($A$1, 216 - 1, 53 - 1) = "1" ), 1, IF( AND( OFFSET($A$1, 216 - 1, 52 - 1) = "1", OFFSET($A$1, 216 - 1, 53 - 1) = "0" ), 2, IF( AND( OFFSET($A$1, 216 - 1, 52 - 1) = "0", OFFSET($A$1, 216 - 1, 53 - 1) = "1" ), 3, 4 ) ) )</f>
        <v>4</v>
      </c>
      <c r="BD216" s="7">
        <v>0</v>
      </c>
      <c r="BE216" s="7" t="str">
        <f>"0"</f>
        <v>0</v>
      </c>
      <c r="BF216" t="str">
        <f ca="1">IF((OFFSET($A$1, 216 - 1, 56 - 1)) &gt;= (OFFSET($A$1, 101 - 1, 7 - 1)), "1","0")</f>
        <v>0</v>
      </c>
      <c r="BG216">
        <f ca="1" xml:space="preserve"> IF( AND( OFFSET($A$1, 216 - 1, 57 - 1) = "1", OFFSET($A$1, 216 - 1, 58 - 1) = "1" ), 1, IF( AND( OFFSET($A$1, 216 - 1, 57 - 1) = "1", OFFSET($A$1, 216 - 1, 58 - 1) = "0" ), 2, IF( AND( OFFSET($A$1, 216 - 1, 57 - 1) = "0", OFFSET($A$1, 216 - 1, 58 - 1) = "1" ), 3, 4 ) ) )</f>
        <v>4</v>
      </c>
    </row>
    <row r="217" spans="51:59" x14ac:dyDescent="0.25">
      <c r="AY217" s="7">
        <v>5.8823529411764705E-2</v>
      </c>
      <c r="AZ217" s="7" t="str">
        <f>"0"</f>
        <v>0</v>
      </c>
      <c r="BA217" t="str">
        <f ca="1">IF((OFFSET($A$1, 217 - 1, 51 - 1)) &gt;= (OFFSET($A$1, 77 - 1, 7 - 1)), "1","0")</f>
        <v>0</v>
      </c>
      <c r="BB217">
        <f ca="1" xml:space="preserve"> IF( AND( OFFSET($A$1, 217 - 1, 52 - 1) = "1", OFFSET($A$1, 217 - 1, 53 - 1) = "1" ), 1, IF( AND( OFFSET($A$1, 217 - 1, 52 - 1) = "1", OFFSET($A$1, 217 - 1, 53 - 1) = "0" ), 2, IF( AND( OFFSET($A$1, 217 - 1, 52 - 1) = "0", OFFSET($A$1, 217 - 1, 53 - 1) = "1" ), 3, 4 ) ) )</f>
        <v>4</v>
      </c>
      <c r="BD217" s="7">
        <v>1</v>
      </c>
      <c r="BE217" s="7" t="str">
        <f>"1"</f>
        <v>1</v>
      </c>
      <c r="BF217" t="str">
        <f ca="1">IF((OFFSET($A$1, 217 - 1, 56 - 1)) &gt;= (OFFSET($A$1, 101 - 1, 7 - 1)), "1","0")</f>
        <v>1</v>
      </c>
      <c r="BG217">
        <f ca="1" xml:space="preserve"> IF( AND( OFFSET($A$1, 217 - 1, 57 - 1) = "1", OFFSET($A$1, 217 - 1, 58 - 1) = "1" ), 1, IF( AND( OFFSET($A$1, 217 - 1, 57 - 1) = "1", OFFSET($A$1, 217 - 1, 58 - 1) = "0" ), 2, IF( AND( OFFSET($A$1, 217 - 1, 57 - 1) = "0", OFFSET($A$1, 217 - 1, 58 - 1) = "1" ), 3, 4 ) ) )</f>
        <v>1</v>
      </c>
    </row>
    <row r="218" spans="51:59" x14ac:dyDescent="0.25">
      <c r="AY218" s="7">
        <v>0.11764705882352941</v>
      </c>
      <c r="AZ218" s="7" t="str">
        <f>"0"</f>
        <v>0</v>
      </c>
      <c r="BA218" t="str">
        <f ca="1">IF((OFFSET($A$1, 218 - 1, 51 - 1)) &gt;= (OFFSET($A$1, 77 - 1, 7 - 1)), "1","0")</f>
        <v>0</v>
      </c>
      <c r="BB218">
        <f ca="1" xml:space="preserve"> IF( AND( OFFSET($A$1, 218 - 1, 52 - 1) = "1", OFFSET($A$1, 218 - 1, 53 - 1) = "1" ), 1, IF( AND( OFFSET($A$1, 218 - 1, 52 - 1) = "1", OFFSET($A$1, 218 - 1, 53 - 1) = "0" ), 2, IF( AND( OFFSET($A$1, 218 - 1, 52 - 1) = "0", OFFSET($A$1, 218 - 1, 53 - 1) = "1" ), 3, 4 ) ) )</f>
        <v>4</v>
      </c>
      <c r="BD218" s="7">
        <v>1</v>
      </c>
      <c r="BE218" s="7" t="str">
        <f>"1"</f>
        <v>1</v>
      </c>
      <c r="BF218" t="str">
        <f ca="1">IF((OFFSET($A$1, 218 - 1, 56 - 1)) &gt;= (OFFSET($A$1, 101 - 1, 7 - 1)), "1","0")</f>
        <v>1</v>
      </c>
      <c r="BG218">
        <f ca="1" xml:space="preserve"> IF( AND( OFFSET($A$1, 218 - 1, 57 - 1) = "1", OFFSET($A$1, 218 - 1, 58 - 1) = "1" ), 1, IF( AND( OFFSET($A$1, 218 - 1, 57 - 1) = "1", OFFSET($A$1, 218 - 1, 58 - 1) = "0" ), 2, IF( AND( OFFSET($A$1, 218 - 1, 57 - 1) = "0", OFFSET($A$1, 218 - 1, 58 - 1) = "1" ), 3, 4 ) ) )</f>
        <v>1</v>
      </c>
    </row>
    <row r="219" spans="51:59" x14ac:dyDescent="0.25">
      <c r="AY219" s="7">
        <v>1</v>
      </c>
      <c r="AZ219" s="7" t="str">
        <f>"1"</f>
        <v>1</v>
      </c>
      <c r="BA219" t="str">
        <f ca="1">IF((OFFSET($A$1, 219 - 1, 51 - 1)) &gt;= (OFFSET($A$1, 77 - 1, 7 - 1)), "1","0")</f>
        <v>1</v>
      </c>
      <c r="BB219">
        <f ca="1" xml:space="preserve"> IF( AND( OFFSET($A$1, 219 - 1, 52 - 1) = "1", OFFSET($A$1, 219 - 1, 53 - 1) = "1" ), 1, IF( AND( OFFSET($A$1, 219 - 1, 52 - 1) = "1", OFFSET($A$1, 219 - 1, 53 - 1) = "0" ), 2, IF( AND( OFFSET($A$1, 219 - 1, 52 - 1) = "0", OFFSET($A$1, 219 - 1, 53 - 1) = "1" ), 3, 4 ) ) )</f>
        <v>1</v>
      </c>
      <c r="BD219" s="7">
        <v>0.29411764705882354</v>
      </c>
      <c r="BE219" s="7" t="str">
        <f>"0"</f>
        <v>0</v>
      </c>
      <c r="BF219" t="str">
        <f ca="1">IF((OFFSET($A$1, 219 - 1, 56 - 1)) &gt;= (OFFSET($A$1, 101 - 1, 7 - 1)), "1","0")</f>
        <v>0</v>
      </c>
      <c r="BG219">
        <f ca="1" xml:space="preserve"> IF( AND( OFFSET($A$1, 219 - 1, 57 - 1) = "1", OFFSET($A$1, 219 - 1, 58 - 1) = "1" ), 1, IF( AND( OFFSET($A$1, 219 - 1, 57 - 1) = "1", OFFSET($A$1, 219 - 1, 58 - 1) = "0" ), 2, IF( AND( OFFSET($A$1, 219 - 1, 57 - 1) = "0", OFFSET($A$1, 219 - 1, 58 - 1) = "1" ), 3, 4 ) ) )</f>
        <v>4</v>
      </c>
    </row>
    <row r="220" spans="51:59" x14ac:dyDescent="0.25">
      <c r="AY220" s="7">
        <v>1</v>
      </c>
      <c r="AZ220" s="7" t="str">
        <f>"1"</f>
        <v>1</v>
      </c>
      <c r="BA220" t="str">
        <f ca="1">IF((OFFSET($A$1, 220 - 1, 51 - 1)) &gt;= (OFFSET($A$1, 77 - 1, 7 - 1)), "1","0")</f>
        <v>1</v>
      </c>
      <c r="BB220">
        <f ca="1" xml:space="preserve"> IF( AND( OFFSET($A$1, 220 - 1, 52 - 1) = "1", OFFSET($A$1, 220 - 1, 53 - 1) = "1" ), 1, IF( AND( OFFSET($A$1, 220 - 1, 52 - 1) = "1", OFFSET($A$1, 220 - 1, 53 - 1) = "0" ), 2, IF( AND( OFFSET($A$1, 220 - 1, 52 - 1) = "0", OFFSET($A$1, 220 - 1, 53 - 1) = "1" ), 3, 4 ) ) )</f>
        <v>1</v>
      </c>
      <c r="BD220" s="7">
        <v>1</v>
      </c>
      <c r="BE220" s="7" t="str">
        <f>"1"</f>
        <v>1</v>
      </c>
      <c r="BF220" t="str">
        <f ca="1">IF((OFFSET($A$1, 220 - 1, 56 - 1)) &gt;= (OFFSET($A$1, 101 - 1, 7 - 1)), "1","0")</f>
        <v>1</v>
      </c>
      <c r="BG220">
        <f ca="1" xml:space="preserve"> IF( AND( OFFSET($A$1, 220 - 1, 57 - 1) = "1", OFFSET($A$1, 220 - 1, 58 - 1) = "1" ), 1, IF( AND( OFFSET($A$1, 220 - 1, 57 - 1) = "1", OFFSET($A$1, 220 - 1, 58 - 1) = "0" ), 2, IF( AND( OFFSET($A$1, 220 - 1, 57 - 1) = "0", OFFSET($A$1, 220 - 1, 58 - 1) = "1" ), 3, 4 ) ) )</f>
        <v>1</v>
      </c>
    </row>
    <row r="221" spans="51:59" x14ac:dyDescent="0.25">
      <c r="AY221" s="7">
        <v>1</v>
      </c>
      <c r="AZ221" s="7" t="str">
        <f>"1"</f>
        <v>1</v>
      </c>
      <c r="BA221" t="str">
        <f ca="1">IF((OFFSET($A$1, 221 - 1, 51 - 1)) &gt;= (OFFSET($A$1, 77 - 1, 7 - 1)), "1","0")</f>
        <v>1</v>
      </c>
      <c r="BB221">
        <f ca="1" xml:space="preserve"> IF( AND( OFFSET($A$1, 221 - 1, 52 - 1) = "1", OFFSET($A$1, 221 - 1, 53 - 1) = "1" ), 1, IF( AND( OFFSET($A$1, 221 - 1, 52 - 1) = "1", OFFSET($A$1, 221 - 1, 53 - 1) = "0" ), 2, IF( AND( OFFSET($A$1, 221 - 1, 52 - 1) = "0", OFFSET($A$1, 221 - 1, 53 - 1) = "1" ), 3, 4 ) ) )</f>
        <v>1</v>
      </c>
      <c r="BD221" s="7">
        <v>0.88235294117647056</v>
      </c>
      <c r="BE221" s="7" t="str">
        <f>"1"</f>
        <v>1</v>
      </c>
      <c r="BF221" t="str">
        <f ca="1">IF((OFFSET($A$1, 221 - 1, 56 - 1)) &gt;= (OFFSET($A$1, 101 - 1, 7 - 1)), "1","0")</f>
        <v>1</v>
      </c>
      <c r="BG221">
        <f ca="1" xml:space="preserve"> IF( AND( OFFSET($A$1, 221 - 1, 57 - 1) = "1", OFFSET($A$1, 221 - 1, 58 - 1) = "1" ), 1, IF( AND( OFFSET($A$1, 221 - 1, 57 - 1) = "1", OFFSET($A$1, 221 - 1, 58 - 1) = "0" ), 2, IF( AND( OFFSET($A$1, 221 - 1, 57 - 1) = "0", OFFSET($A$1, 221 - 1, 58 - 1) = "1" ), 3, 4 ) ) )</f>
        <v>1</v>
      </c>
    </row>
    <row r="222" spans="51:59" x14ac:dyDescent="0.25">
      <c r="AY222" s="7">
        <v>5.8823529411764705E-2</v>
      </c>
      <c r="AZ222" s="7" t="str">
        <f>"0"</f>
        <v>0</v>
      </c>
      <c r="BA222" t="str">
        <f ca="1">IF((OFFSET($A$1, 222 - 1, 51 - 1)) &gt;= (OFFSET($A$1, 77 - 1, 7 - 1)), "1","0")</f>
        <v>0</v>
      </c>
      <c r="BB222">
        <f ca="1" xml:space="preserve"> IF( AND( OFFSET($A$1, 222 - 1, 52 - 1) = "1", OFFSET($A$1, 222 - 1, 53 - 1) = "1" ), 1, IF( AND( OFFSET($A$1, 222 - 1, 52 - 1) = "1", OFFSET($A$1, 222 - 1, 53 - 1) = "0" ), 2, IF( AND( OFFSET($A$1, 222 - 1, 52 - 1) = "0", OFFSET($A$1, 222 - 1, 53 - 1) = "1" ), 3, 4 ) ) )</f>
        <v>4</v>
      </c>
      <c r="BD222" s="7">
        <v>0</v>
      </c>
      <c r="BE222" s="7" t="str">
        <f>"0"</f>
        <v>0</v>
      </c>
      <c r="BF222" t="str">
        <f ca="1">IF((OFFSET($A$1, 222 - 1, 56 - 1)) &gt;= (OFFSET($A$1, 101 - 1, 7 - 1)), "1","0")</f>
        <v>0</v>
      </c>
      <c r="BG222">
        <f ca="1" xml:space="preserve"> IF( AND( OFFSET($A$1, 222 - 1, 57 - 1) = "1", OFFSET($A$1, 222 - 1, 58 - 1) = "1" ), 1, IF( AND( OFFSET($A$1, 222 - 1, 57 - 1) = "1", OFFSET($A$1, 222 - 1, 58 - 1) = "0" ), 2, IF( AND( OFFSET($A$1, 222 - 1, 57 - 1) = "0", OFFSET($A$1, 222 - 1, 58 - 1) = "1" ), 3, 4 ) ) )</f>
        <v>4</v>
      </c>
    </row>
    <row r="223" spans="51:59" x14ac:dyDescent="0.25">
      <c r="AY223" s="7">
        <v>5.8823529411764705E-2</v>
      </c>
      <c r="AZ223" s="7" t="str">
        <f>"0"</f>
        <v>0</v>
      </c>
      <c r="BA223" t="str">
        <f ca="1">IF((OFFSET($A$1, 223 - 1, 51 - 1)) &gt;= (OFFSET($A$1, 77 - 1, 7 - 1)), "1","0")</f>
        <v>0</v>
      </c>
      <c r="BB223">
        <f ca="1" xml:space="preserve"> IF( AND( OFFSET($A$1, 223 - 1, 52 - 1) = "1", OFFSET($A$1, 223 - 1, 53 - 1) = "1" ), 1, IF( AND( OFFSET($A$1, 223 - 1, 52 - 1) = "1", OFFSET($A$1, 223 - 1, 53 - 1) = "0" ), 2, IF( AND( OFFSET($A$1, 223 - 1, 52 - 1) = "0", OFFSET($A$1, 223 - 1, 53 - 1) = "1" ), 3, 4 ) ) )</f>
        <v>4</v>
      </c>
      <c r="BD223" s="7">
        <v>0</v>
      </c>
      <c r="BE223" s="7" t="str">
        <f>"0"</f>
        <v>0</v>
      </c>
      <c r="BF223" t="str">
        <f ca="1">IF((OFFSET($A$1, 223 - 1, 56 - 1)) &gt;= (OFFSET($A$1, 101 - 1, 7 - 1)), "1","0")</f>
        <v>0</v>
      </c>
      <c r="BG223">
        <f ca="1" xml:space="preserve"> IF( AND( OFFSET($A$1, 223 - 1, 57 - 1) = "1", OFFSET($A$1, 223 - 1, 58 - 1) = "1" ), 1, IF( AND( OFFSET($A$1, 223 - 1, 57 - 1) = "1", OFFSET($A$1, 223 - 1, 58 - 1) = "0" ), 2, IF( AND( OFFSET($A$1, 223 - 1, 57 - 1) = "0", OFFSET($A$1, 223 - 1, 58 - 1) = "1" ), 3, 4 ) ) )</f>
        <v>4</v>
      </c>
    </row>
    <row r="224" spans="51:59" x14ac:dyDescent="0.25">
      <c r="AY224" s="7">
        <v>0.35294117647058826</v>
      </c>
      <c r="AZ224" s="7" t="str">
        <f>"0"</f>
        <v>0</v>
      </c>
      <c r="BA224" t="str">
        <f ca="1">IF((OFFSET($A$1, 224 - 1, 51 - 1)) &gt;= (OFFSET($A$1, 77 - 1, 7 - 1)), "1","0")</f>
        <v>0</v>
      </c>
      <c r="BB224">
        <f ca="1" xml:space="preserve"> IF( AND( OFFSET($A$1, 224 - 1, 52 - 1) = "1", OFFSET($A$1, 224 - 1, 53 - 1) = "1" ), 1, IF( AND( OFFSET($A$1, 224 - 1, 52 - 1) = "1", OFFSET($A$1, 224 - 1, 53 - 1) = "0" ), 2, IF( AND( OFFSET($A$1, 224 - 1, 52 - 1) = "0", OFFSET($A$1, 224 - 1, 53 - 1) = "1" ), 3, 4 ) ) )</f>
        <v>4</v>
      </c>
      <c r="BD224" s="7">
        <v>1</v>
      </c>
      <c r="BE224" s="7" t="str">
        <f>"1"</f>
        <v>1</v>
      </c>
      <c r="BF224" t="str">
        <f ca="1">IF((OFFSET($A$1, 224 - 1, 56 - 1)) &gt;= (OFFSET($A$1, 101 - 1, 7 - 1)), "1","0")</f>
        <v>1</v>
      </c>
      <c r="BG224">
        <f ca="1" xml:space="preserve"> IF( AND( OFFSET($A$1, 224 - 1, 57 - 1) = "1", OFFSET($A$1, 224 - 1, 58 - 1) = "1" ), 1, IF( AND( OFFSET($A$1, 224 - 1, 57 - 1) = "1", OFFSET($A$1, 224 - 1, 58 - 1) = "0" ), 2, IF( AND( OFFSET($A$1, 224 - 1, 57 - 1) = "0", OFFSET($A$1, 224 - 1, 58 - 1) = "1" ), 3, 4 ) ) )</f>
        <v>1</v>
      </c>
    </row>
    <row r="225" spans="51:59" x14ac:dyDescent="0.25">
      <c r="AY225" s="7">
        <v>5.8823529411764705E-2</v>
      </c>
      <c r="AZ225" s="7" t="str">
        <f>"0"</f>
        <v>0</v>
      </c>
      <c r="BA225" t="str">
        <f ca="1">IF((OFFSET($A$1, 225 - 1, 51 - 1)) &gt;= (OFFSET($A$1, 77 - 1, 7 - 1)), "1","0")</f>
        <v>0</v>
      </c>
      <c r="BB225">
        <f ca="1" xml:space="preserve"> IF( AND( OFFSET($A$1, 225 - 1, 52 - 1) = "1", OFFSET($A$1, 225 - 1, 53 - 1) = "1" ), 1, IF( AND( OFFSET($A$1, 225 - 1, 52 - 1) = "1", OFFSET($A$1, 225 - 1, 53 - 1) = "0" ), 2, IF( AND( OFFSET($A$1, 225 - 1, 52 - 1) = "0", OFFSET($A$1, 225 - 1, 53 - 1) = "1" ), 3, 4 ) ) )</f>
        <v>4</v>
      </c>
      <c r="BD225" s="7">
        <v>1</v>
      </c>
      <c r="BE225" s="7" t="str">
        <f>"1"</f>
        <v>1</v>
      </c>
      <c r="BF225" t="str">
        <f ca="1">IF((OFFSET($A$1, 225 - 1, 56 - 1)) &gt;= (OFFSET($A$1, 101 - 1, 7 - 1)), "1","0")</f>
        <v>1</v>
      </c>
      <c r="BG225">
        <f ca="1" xml:space="preserve"> IF( AND( OFFSET($A$1, 225 - 1, 57 - 1) = "1", OFFSET($A$1, 225 - 1, 58 - 1) = "1" ), 1, IF( AND( OFFSET($A$1, 225 - 1, 57 - 1) = "1", OFFSET($A$1, 225 - 1, 58 - 1) = "0" ), 2, IF( AND( OFFSET($A$1, 225 - 1, 57 - 1) = "0", OFFSET($A$1, 225 - 1, 58 - 1) = "1" ), 3, 4 ) ) )</f>
        <v>1</v>
      </c>
    </row>
    <row r="226" spans="51:59" x14ac:dyDescent="0.25">
      <c r="AY226" s="7">
        <v>0</v>
      </c>
      <c r="AZ226" s="7" t="str">
        <f>"0"</f>
        <v>0</v>
      </c>
      <c r="BA226" t="str">
        <f ca="1">IF((OFFSET($A$1, 226 - 1, 51 - 1)) &gt;= (OFFSET($A$1, 77 - 1, 7 - 1)), "1","0")</f>
        <v>0</v>
      </c>
      <c r="BB226">
        <f ca="1" xml:space="preserve"> IF( AND( OFFSET($A$1, 226 - 1, 52 - 1) = "1", OFFSET($A$1, 226 - 1, 53 - 1) = "1" ), 1, IF( AND( OFFSET($A$1, 226 - 1, 52 - 1) = "1", OFFSET($A$1, 226 - 1, 53 - 1) = "0" ), 2, IF( AND( OFFSET($A$1, 226 - 1, 52 - 1) = "0", OFFSET($A$1, 226 - 1, 53 - 1) = "1" ), 3, 4 ) ) )</f>
        <v>4</v>
      </c>
      <c r="BD226" s="7">
        <v>0.94117647058823528</v>
      </c>
      <c r="BE226" s="7" t="str">
        <f>"0"</f>
        <v>0</v>
      </c>
      <c r="BF226" t="str">
        <f ca="1">IF((OFFSET($A$1, 226 - 1, 56 - 1)) &gt;= (OFFSET($A$1, 101 - 1, 7 - 1)), "1","0")</f>
        <v>1</v>
      </c>
      <c r="BG226">
        <f ca="1" xml:space="preserve"> IF( AND( OFFSET($A$1, 226 - 1, 57 - 1) = "1", OFFSET($A$1, 226 - 1, 58 - 1) = "1" ), 1, IF( AND( OFFSET($A$1, 226 - 1, 57 - 1) = "1", OFFSET($A$1, 226 - 1, 58 - 1) = "0" ), 2, IF( AND( OFFSET($A$1, 226 - 1, 57 - 1) = "0", OFFSET($A$1, 226 - 1, 58 - 1) = "1" ), 3, 4 ) ) )</f>
        <v>3</v>
      </c>
    </row>
    <row r="227" spans="51:59" x14ac:dyDescent="0.25">
      <c r="AY227" s="7">
        <v>0.17647058823529413</v>
      </c>
      <c r="AZ227" s="7" t="str">
        <f>"0"</f>
        <v>0</v>
      </c>
      <c r="BA227" t="str">
        <f ca="1">IF((OFFSET($A$1, 227 - 1, 51 - 1)) &gt;= (OFFSET($A$1, 77 - 1, 7 - 1)), "1","0")</f>
        <v>0</v>
      </c>
      <c r="BB227">
        <f ca="1" xml:space="preserve"> IF( AND( OFFSET($A$1, 227 - 1, 52 - 1) = "1", OFFSET($A$1, 227 - 1, 53 - 1) = "1" ), 1, IF( AND( OFFSET($A$1, 227 - 1, 52 - 1) = "1", OFFSET($A$1, 227 - 1, 53 - 1) = "0" ), 2, IF( AND( OFFSET($A$1, 227 - 1, 52 - 1) = "0", OFFSET($A$1, 227 - 1, 53 - 1) = "1" ), 3, 4 ) ) )</f>
        <v>4</v>
      </c>
      <c r="BD227" s="7">
        <v>0</v>
      </c>
      <c r="BE227" s="7" t="str">
        <f>"0"</f>
        <v>0</v>
      </c>
      <c r="BF227" t="str">
        <f ca="1">IF((OFFSET($A$1, 227 - 1, 56 - 1)) &gt;= (OFFSET($A$1, 101 - 1, 7 - 1)), "1","0")</f>
        <v>0</v>
      </c>
      <c r="BG227">
        <f ca="1" xml:space="preserve"> IF( AND( OFFSET($A$1, 227 - 1, 57 - 1) = "1", OFFSET($A$1, 227 - 1, 58 - 1) = "1" ), 1, IF( AND( OFFSET($A$1, 227 - 1, 57 - 1) = "1", OFFSET($A$1, 227 - 1, 58 - 1) = "0" ), 2, IF( AND( OFFSET($A$1, 227 - 1, 57 - 1) = "0", OFFSET($A$1, 227 - 1, 58 - 1) = "1" ), 3, 4 ) ) )</f>
        <v>4</v>
      </c>
    </row>
    <row r="228" spans="51:59" x14ac:dyDescent="0.25">
      <c r="AY228" s="7">
        <v>0</v>
      </c>
      <c r="AZ228" s="7" t="str">
        <f>"0"</f>
        <v>0</v>
      </c>
      <c r="BA228" t="str">
        <f ca="1">IF((OFFSET($A$1, 228 - 1, 51 - 1)) &gt;= (OFFSET($A$1, 77 - 1, 7 - 1)), "1","0")</f>
        <v>0</v>
      </c>
      <c r="BB228">
        <f ca="1" xml:space="preserve"> IF( AND( OFFSET($A$1, 228 - 1, 52 - 1) = "1", OFFSET($A$1, 228 - 1, 53 - 1) = "1" ), 1, IF( AND( OFFSET($A$1, 228 - 1, 52 - 1) = "1", OFFSET($A$1, 228 - 1, 53 - 1) = "0" ), 2, IF( AND( OFFSET($A$1, 228 - 1, 52 - 1) = "0", OFFSET($A$1, 228 - 1, 53 - 1) = "1" ), 3, 4 ) ) )</f>
        <v>4</v>
      </c>
      <c r="BD228" s="7">
        <v>0</v>
      </c>
      <c r="BE228" s="7" t="str">
        <f>"0"</f>
        <v>0</v>
      </c>
      <c r="BF228" t="str">
        <f ca="1">IF((OFFSET($A$1, 228 - 1, 56 - 1)) &gt;= (OFFSET($A$1, 101 - 1, 7 - 1)), "1","0")</f>
        <v>0</v>
      </c>
      <c r="BG228">
        <f ca="1" xml:space="preserve"> IF( AND( OFFSET($A$1, 228 - 1, 57 - 1) = "1", OFFSET($A$1, 228 - 1, 58 - 1) = "1" ), 1, IF( AND( OFFSET($A$1, 228 - 1, 57 - 1) = "1", OFFSET($A$1, 228 - 1, 58 - 1) = "0" ), 2, IF( AND( OFFSET($A$1, 228 - 1, 57 - 1) = "0", OFFSET($A$1, 228 - 1, 58 - 1) = "1" ), 3, 4 ) ) )</f>
        <v>4</v>
      </c>
    </row>
    <row r="229" spans="51:59" x14ac:dyDescent="0.25">
      <c r="AY229" s="7">
        <v>5.8823529411764705E-2</v>
      </c>
      <c r="AZ229" s="7" t="str">
        <f>"0"</f>
        <v>0</v>
      </c>
      <c r="BA229" t="str">
        <f ca="1">IF((OFFSET($A$1, 229 - 1, 51 - 1)) &gt;= (OFFSET($A$1, 77 - 1, 7 - 1)), "1","0")</f>
        <v>0</v>
      </c>
      <c r="BB229">
        <f ca="1" xml:space="preserve"> IF( AND( OFFSET($A$1, 229 - 1, 52 - 1) = "1", OFFSET($A$1, 229 - 1, 53 - 1) = "1" ), 1, IF( AND( OFFSET($A$1, 229 - 1, 52 - 1) = "1", OFFSET($A$1, 229 - 1, 53 - 1) = "0" ), 2, IF( AND( OFFSET($A$1, 229 - 1, 52 - 1) = "0", OFFSET($A$1, 229 - 1, 53 - 1) = "1" ), 3, 4 ) ) )</f>
        <v>4</v>
      </c>
      <c r="BD229" s="7">
        <v>0</v>
      </c>
      <c r="BE229" s="7" t="str">
        <f>"0"</f>
        <v>0</v>
      </c>
      <c r="BF229" t="str">
        <f ca="1">IF((OFFSET($A$1, 229 - 1, 56 - 1)) &gt;= (OFFSET($A$1, 101 - 1, 7 - 1)), "1","0")</f>
        <v>0</v>
      </c>
      <c r="BG229">
        <f ca="1" xml:space="preserve"> IF( AND( OFFSET($A$1, 229 - 1, 57 - 1) = "1", OFFSET($A$1, 229 - 1, 58 - 1) = "1" ), 1, IF( AND( OFFSET($A$1, 229 - 1, 57 - 1) = "1", OFFSET($A$1, 229 - 1, 58 - 1) = "0" ), 2, IF( AND( OFFSET($A$1, 229 - 1, 57 - 1) = "0", OFFSET($A$1, 229 - 1, 58 - 1) = "1" ), 3, 4 ) ) )</f>
        <v>4</v>
      </c>
    </row>
    <row r="230" spans="51:59" x14ac:dyDescent="0.25">
      <c r="AY230" s="7">
        <v>0.23529411764705882</v>
      </c>
      <c r="AZ230" s="7" t="str">
        <f>"0"</f>
        <v>0</v>
      </c>
      <c r="BA230" t="str">
        <f ca="1">IF((OFFSET($A$1, 230 - 1, 51 - 1)) &gt;= (OFFSET($A$1, 77 - 1, 7 - 1)), "1","0")</f>
        <v>0</v>
      </c>
      <c r="BB230">
        <f ca="1" xml:space="preserve"> IF( AND( OFFSET($A$1, 230 - 1, 52 - 1) = "1", OFFSET($A$1, 230 - 1, 53 - 1) = "1" ), 1, IF( AND( OFFSET($A$1, 230 - 1, 52 - 1) = "1", OFFSET($A$1, 230 - 1, 53 - 1) = "0" ), 2, IF( AND( OFFSET($A$1, 230 - 1, 52 - 1) = "0", OFFSET($A$1, 230 - 1, 53 - 1) = "1" ), 3, 4 ) ) )</f>
        <v>4</v>
      </c>
      <c r="BD230" s="7">
        <v>0.70588235294117652</v>
      </c>
      <c r="BE230" s="7" t="str">
        <f>"0"</f>
        <v>0</v>
      </c>
      <c r="BF230" t="str">
        <f ca="1">IF((OFFSET($A$1, 230 - 1, 56 - 1)) &gt;= (OFFSET($A$1, 101 - 1, 7 - 1)), "1","0")</f>
        <v>1</v>
      </c>
      <c r="BG230">
        <f ca="1" xml:space="preserve"> IF( AND( OFFSET($A$1, 230 - 1, 57 - 1) = "1", OFFSET($A$1, 230 - 1, 58 - 1) = "1" ), 1, IF( AND( OFFSET($A$1, 230 - 1, 57 - 1) = "1", OFFSET($A$1, 230 - 1, 58 - 1) = "0" ), 2, IF( AND( OFFSET($A$1, 230 - 1, 57 - 1) = "0", OFFSET($A$1, 230 - 1, 58 - 1) = "1" ), 3, 4 ) ) )</f>
        <v>3</v>
      </c>
    </row>
    <row r="231" spans="51:59" x14ac:dyDescent="0.25">
      <c r="AY231" s="7">
        <v>1</v>
      </c>
      <c r="AZ231" s="7" t="str">
        <f>"1"</f>
        <v>1</v>
      </c>
      <c r="BA231" t="str">
        <f ca="1">IF((OFFSET($A$1, 231 - 1, 51 - 1)) &gt;= (OFFSET($A$1, 77 - 1, 7 - 1)), "1","0")</f>
        <v>1</v>
      </c>
      <c r="BB231">
        <f ca="1" xml:space="preserve"> IF( AND( OFFSET($A$1, 231 - 1, 52 - 1) = "1", OFFSET($A$1, 231 - 1, 53 - 1) = "1" ), 1, IF( AND( OFFSET($A$1, 231 - 1, 52 - 1) = "1", OFFSET($A$1, 231 - 1, 53 - 1) = "0" ), 2, IF( AND( OFFSET($A$1, 231 - 1, 52 - 1) = "0", OFFSET($A$1, 231 - 1, 53 - 1) = "1" ), 3, 4 ) ) )</f>
        <v>1</v>
      </c>
      <c r="BD231" s="7">
        <v>0</v>
      </c>
      <c r="BE231" s="7" t="str">
        <f>"0"</f>
        <v>0</v>
      </c>
      <c r="BF231" t="str">
        <f ca="1">IF((OFFSET($A$1, 231 - 1, 56 - 1)) &gt;= (OFFSET($A$1, 101 - 1, 7 - 1)), "1","0")</f>
        <v>0</v>
      </c>
      <c r="BG231">
        <f ca="1" xml:space="preserve"> IF( AND( OFFSET($A$1, 231 - 1, 57 - 1) = "1", OFFSET($A$1, 231 - 1, 58 - 1) = "1" ), 1, IF( AND( OFFSET($A$1, 231 - 1, 57 - 1) = "1", OFFSET($A$1, 231 - 1, 58 - 1) = "0" ), 2, IF( AND( OFFSET($A$1, 231 - 1, 57 - 1) = "0", OFFSET($A$1, 231 - 1, 58 - 1) = "1" ), 3, 4 ) ) )</f>
        <v>4</v>
      </c>
    </row>
    <row r="232" spans="51:59" x14ac:dyDescent="0.25">
      <c r="AY232" s="7">
        <v>0.23529411764705882</v>
      </c>
      <c r="AZ232" s="7" t="str">
        <f>"0"</f>
        <v>0</v>
      </c>
      <c r="BA232" t="str">
        <f ca="1">IF((OFFSET($A$1, 232 - 1, 51 - 1)) &gt;= (OFFSET($A$1, 77 - 1, 7 - 1)), "1","0")</f>
        <v>0</v>
      </c>
      <c r="BB232">
        <f ca="1" xml:space="preserve"> IF( AND( OFFSET($A$1, 232 - 1, 52 - 1) = "1", OFFSET($A$1, 232 - 1, 53 - 1) = "1" ), 1, IF( AND( OFFSET($A$1, 232 - 1, 52 - 1) = "1", OFFSET($A$1, 232 - 1, 53 - 1) = "0" ), 2, IF( AND( OFFSET($A$1, 232 - 1, 52 - 1) = "0", OFFSET($A$1, 232 - 1, 53 - 1) = "1" ), 3, 4 ) ) )</f>
        <v>4</v>
      </c>
      <c r="BD232" s="7">
        <v>0</v>
      </c>
      <c r="BE232" s="7" t="str">
        <f>"0"</f>
        <v>0</v>
      </c>
      <c r="BF232" t="str">
        <f ca="1">IF((OFFSET($A$1, 232 - 1, 56 - 1)) &gt;= (OFFSET($A$1, 101 - 1, 7 - 1)), "1","0")</f>
        <v>0</v>
      </c>
      <c r="BG232">
        <f ca="1" xml:space="preserve"> IF( AND( OFFSET($A$1, 232 - 1, 57 - 1) = "1", OFFSET($A$1, 232 - 1, 58 - 1) = "1" ), 1, IF( AND( OFFSET($A$1, 232 - 1, 57 - 1) = "1", OFFSET($A$1, 232 - 1, 58 - 1) = "0" ), 2, IF( AND( OFFSET($A$1, 232 - 1, 57 - 1) = "0", OFFSET($A$1, 232 - 1, 58 - 1) = "1" ), 3, 4 ) ) )</f>
        <v>4</v>
      </c>
    </row>
    <row r="233" spans="51:59" x14ac:dyDescent="0.25">
      <c r="AY233" s="7">
        <v>0.41176470588235292</v>
      </c>
      <c r="AZ233" s="7" t="str">
        <f>"1"</f>
        <v>1</v>
      </c>
      <c r="BA233" t="str">
        <f ca="1">IF((OFFSET($A$1, 233 - 1, 51 - 1)) &gt;= (OFFSET($A$1, 77 - 1, 7 - 1)), "1","0")</f>
        <v>0</v>
      </c>
      <c r="BB233">
        <f ca="1" xml:space="preserve"> IF( AND( OFFSET($A$1, 233 - 1, 52 - 1) = "1", OFFSET($A$1, 233 - 1, 53 - 1) = "1" ), 1, IF( AND( OFFSET($A$1, 233 - 1, 52 - 1) = "1", OFFSET($A$1, 233 - 1, 53 - 1) = "0" ), 2, IF( AND( OFFSET($A$1, 233 - 1, 52 - 1) = "0", OFFSET($A$1, 233 - 1, 53 - 1) = "1" ), 3, 4 ) ) )</f>
        <v>2</v>
      </c>
      <c r="BD233" s="7">
        <v>0</v>
      </c>
      <c r="BE233" s="7" t="str">
        <f>"0"</f>
        <v>0</v>
      </c>
      <c r="BF233" t="str">
        <f ca="1">IF((OFFSET($A$1, 233 - 1, 56 - 1)) &gt;= (OFFSET($A$1, 101 - 1, 7 - 1)), "1","0")</f>
        <v>0</v>
      </c>
      <c r="BG233">
        <f ca="1" xml:space="preserve"> IF( AND( OFFSET($A$1, 233 - 1, 57 - 1) = "1", OFFSET($A$1, 233 - 1, 58 - 1) = "1" ), 1, IF( AND( OFFSET($A$1, 233 - 1, 57 - 1) = "1", OFFSET($A$1, 233 - 1, 58 - 1) = "0" ), 2, IF( AND( OFFSET($A$1, 233 - 1, 57 - 1) = "0", OFFSET($A$1, 233 - 1, 58 - 1) = "1" ), 3, 4 ) ) )</f>
        <v>4</v>
      </c>
    </row>
    <row r="234" spans="51:59" x14ac:dyDescent="0.25">
      <c r="AY234" s="7">
        <v>0.23529411764705882</v>
      </c>
      <c r="AZ234" s="7" t="str">
        <f>"0"</f>
        <v>0</v>
      </c>
      <c r="BA234" t="str">
        <f ca="1">IF((OFFSET($A$1, 234 - 1, 51 - 1)) &gt;= (OFFSET($A$1, 77 - 1, 7 - 1)), "1","0")</f>
        <v>0</v>
      </c>
      <c r="BB234">
        <f ca="1" xml:space="preserve"> IF( AND( OFFSET($A$1, 234 - 1, 52 - 1) = "1", OFFSET($A$1, 234 - 1, 53 - 1) = "1" ), 1, IF( AND( OFFSET($A$1, 234 - 1, 52 - 1) = "1", OFFSET($A$1, 234 - 1, 53 - 1) = "0" ), 2, IF( AND( OFFSET($A$1, 234 - 1, 52 - 1) = "0", OFFSET($A$1, 234 - 1, 53 - 1) = "1" ), 3, 4 ) ) )</f>
        <v>4</v>
      </c>
      <c r="BD234" s="7">
        <v>0</v>
      </c>
      <c r="BE234" s="7" t="str">
        <f>"0"</f>
        <v>0</v>
      </c>
      <c r="BF234" t="str">
        <f ca="1">IF((OFFSET($A$1, 234 - 1, 56 - 1)) &gt;= (OFFSET($A$1, 101 - 1, 7 - 1)), "1","0")</f>
        <v>0</v>
      </c>
      <c r="BG234">
        <f ca="1" xml:space="preserve"> IF( AND( OFFSET($A$1, 234 - 1, 57 - 1) = "1", OFFSET($A$1, 234 - 1, 58 - 1) = "1" ), 1, IF( AND( OFFSET($A$1, 234 - 1, 57 - 1) = "1", OFFSET($A$1, 234 - 1, 58 - 1) = "0" ), 2, IF( AND( OFFSET($A$1, 234 - 1, 57 - 1) = "0", OFFSET($A$1, 234 - 1, 58 - 1) = "1" ), 3, 4 ) ) )</f>
        <v>4</v>
      </c>
    </row>
    <row r="235" spans="51:59" x14ac:dyDescent="0.25">
      <c r="AY235" s="7">
        <v>0</v>
      </c>
      <c r="AZ235" s="7" t="str">
        <f>"0"</f>
        <v>0</v>
      </c>
      <c r="BA235" t="str">
        <f ca="1">IF((OFFSET($A$1, 235 - 1, 51 - 1)) &gt;= (OFFSET($A$1, 77 - 1, 7 - 1)), "1","0")</f>
        <v>0</v>
      </c>
      <c r="BB235">
        <f ca="1" xml:space="preserve"> IF( AND( OFFSET($A$1, 235 - 1, 52 - 1) = "1", OFFSET($A$1, 235 - 1, 53 - 1) = "1" ), 1, IF( AND( OFFSET($A$1, 235 - 1, 52 - 1) = "1", OFFSET($A$1, 235 - 1, 53 - 1) = "0" ), 2, IF( AND( OFFSET($A$1, 235 - 1, 52 - 1) = "0", OFFSET($A$1, 235 - 1, 53 - 1) = "1" ), 3, 4 ) ) )</f>
        <v>4</v>
      </c>
      <c r="BD235" s="7">
        <v>0</v>
      </c>
      <c r="BE235" s="7" t="str">
        <f>"0"</f>
        <v>0</v>
      </c>
      <c r="BF235" t="str">
        <f ca="1">IF((OFFSET($A$1, 235 - 1, 56 - 1)) &gt;= (OFFSET($A$1, 101 - 1, 7 - 1)), "1","0")</f>
        <v>0</v>
      </c>
      <c r="BG235">
        <f ca="1" xml:space="preserve"> IF( AND( OFFSET($A$1, 235 - 1, 57 - 1) = "1", OFFSET($A$1, 235 - 1, 58 - 1) = "1" ), 1, IF( AND( OFFSET($A$1, 235 - 1, 57 - 1) = "1", OFFSET($A$1, 235 - 1, 58 - 1) = "0" ), 2, IF( AND( OFFSET($A$1, 235 - 1, 57 - 1) = "0", OFFSET($A$1, 235 - 1, 58 - 1) = "1" ), 3, 4 ) ) )</f>
        <v>4</v>
      </c>
    </row>
    <row r="236" spans="51:59" x14ac:dyDescent="0.25">
      <c r="AY236" s="7">
        <v>0.70588235294117652</v>
      </c>
      <c r="AZ236" s="7" t="str">
        <f>"1"</f>
        <v>1</v>
      </c>
      <c r="BA236" t="str">
        <f ca="1">IF((OFFSET($A$1, 236 - 1, 51 - 1)) &gt;= (OFFSET($A$1, 77 - 1, 7 - 1)), "1","0")</f>
        <v>1</v>
      </c>
      <c r="BB236">
        <f ca="1" xml:space="preserve"> IF( AND( OFFSET($A$1, 236 - 1, 52 - 1) = "1", OFFSET($A$1, 236 - 1, 53 - 1) = "1" ), 1, IF( AND( OFFSET($A$1, 236 - 1, 52 - 1) = "1", OFFSET($A$1, 236 - 1, 53 - 1) = "0" ), 2, IF( AND( OFFSET($A$1, 236 - 1, 52 - 1) = "0", OFFSET($A$1, 236 - 1, 53 - 1) = "1" ), 3, 4 ) ) )</f>
        <v>1</v>
      </c>
      <c r="BD236" s="7">
        <v>5.8823529411764705E-2</v>
      </c>
      <c r="BE236" s="7" t="str">
        <f>"0"</f>
        <v>0</v>
      </c>
      <c r="BF236" t="str">
        <f ca="1">IF((OFFSET($A$1, 236 - 1, 56 - 1)) &gt;= (OFFSET($A$1, 101 - 1, 7 - 1)), "1","0")</f>
        <v>0</v>
      </c>
      <c r="BG236">
        <f ca="1" xml:space="preserve"> IF( AND( OFFSET($A$1, 236 - 1, 57 - 1) = "1", OFFSET($A$1, 236 - 1, 58 - 1) = "1" ), 1, IF( AND( OFFSET($A$1, 236 - 1, 57 - 1) = "1", OFFSET($A$1, 236 - 1, 58 - 1) = "0" ), 2, IF( AND( OFFSET($A$1, 236 - 1, 57 - 1) = "0", OFFSET($A$1, 236 - 1, 58 - 1) = "1" ), 3, 4 ) ) )</f>
        <v>4</v>
      </c>
    </row>
    <row r="237" spans="51:59" x14ac:dyDescent="0.25">
      <c r="AY237" s="7">
        <v>0</v>
      </c>
      <c r="AZ237" s="7" t="str">
        <f>"0"</f>
        <v>0</v>
      </c>
      <c r="BA237" t="str">
        <f ca="1">IF((OFFSET($A$1, 237 - 1, 51 - 1)) &gt;= (OFFSET($A$1, 77 - 1, 7 - 1)), "1","0")</f>
        <v>0</v>
      </c>
      <c r="BB237">
        <f ca="1" xml:space="preserve"> IF( AND( OFFSET($A$1, 237 - 1, 52 - 1) = "1", OFFSET($A$1, 237 - 1, 53 - 1) = "1" ), 1, IF( AND( OFFSET($A$1, 237 - 1, 52 - 1) = "1", OFFSET($A$1, 237 - 1, 53 - 1) = "0" ), 2, IF( AND( OFFSET($A$1, 237 - 1, 52 - 1) = "0", OFFSET($A$1, 237 - 1, 53 - 1) = "1" ), 3, 4 ) ) )</f>
        <v>4</v>
      </c>
      <c r="BD237" s="7">
        <v>0</v>
      </c>
      <c r="BE237" s="7" t="str">
        <f>"0"</f>
        <v>0</v>
      </c>
      <c r="BF237" t="str">
        <f ca="1">IF((OFFSET($A$1, 237 - 1, 56 - 1)) &gt;= (OFFSET($A$1, 101 - 1, 7 - 1)), "1","0")</f>
        <v>0</v>
      </c>
      <c r="BG237">
        <f ca="1" xml:space="preserve"> IF( AND( OFFSET($A$1, 237 - 1, 57 - 1) = "1", OFFSET($A$1, 237 - 1, 58 - 1) = "1" ), 1, IF( AND( OFFSET($A$1, 237 - 1, 57 - 1) = "1", OFFSET($A$1, 237 - 1, 58 - 1) = "0" ), 2, IF( AND( OFFSET($A$1, 237 - 1, 57 - 1) = "0", OFFSET($A$1, 237 - 1, 58 - 1) = "1" ), 3, 4 ) ) )</f>
        <v>4</v>
      </c>
    </row>
    <row r="238" spans="51:59" x14ac:dyDescent="0.25">
      <c r="AY238" s="7">
        <v>0.41176470588235292</v>
      </c>
      <c r="AZ238" s="7" t="str">
        <f>"0"</f>
        <v>0</v>
      </c>
      <c r="BA238" t="str">
        <f ca="1">IF((OFFSET($A$1, 238 - 1, 51 - 1)) &gt;= (OFFSET($A$1, 77 - 1, 7 - 1)), "1","0")</f>
        <v>0</v>
      </c>
      <c r="BB238">
        <f ca="1" xml:space="preserve"> IF( AND( OFFSET($A$1, 238 - 1, 52 - 1) = "1", OFFSET($A$1, 238 - 1, 53 - 1) = "1" ), 1, IF( AND( OFFSET($A$1, 238 - 1, 52 - 1) = "1", OFFSET($A$1, 238 - 1, 53 - 1) = "0" ), 2, IF( AND( OFFSET($A$1, 238 - 1, 52 - 1) = "0", OFFSET($A$1, 238 - 1, 53 - 1) = "1" ), 3, 4 ) ) )</f>
        <v>4</v>
      </c>
      <c r="BD238" s="7">
        <v>0</v>
      </c>
      <c r="BE238" s="7" t="str">
        <f>"0"</f>
        <v>0</v>
      </c>
      <c r="BF238" t="str">
        <f ca="1">IF((OFFSET($A$1, 238 - 1, 56 - 1)) &gt;= (OFFSET($A$1, 101 - 1, 7 - 1)), "1","0")</f>
        <v>0</v>
      </c>
      <c r="BG238">
        <f ca="1" xml:space="preserve"> IF( AND( OFFSET($A$1, 238 - 1, 57 - 1) = "1", OFFSET($A$1, 238 - 1, 58 - 1) = "1" ), 1, IF( AND( OFFSET($A$1, 238 - 1, 57 - 1) = "1", OFFSET($A$1, 238 - 1, 58 - 1) = "0" ), 2, IF( AND( OFFSET($A$1, 238 - 1, 57 - 1) = "0", OFFSET($A$1, 238 - 1, 58 - 1) = "1" ), 3, 4 ) ) )</f>
        <v>4</v>
      </c>
    </row>
    <row r="239" spans="51:59" x14ac:dyDescent="0.25">
      <c r="AY239" s="7">
        <v>0</v>
      </c>
      <c r="AZ239" s="7" t="str">
        <f>"0"</f>
        <v>0</v>
      </c>
      <c r="BA239" t="str">
        <f ca="1">IF((OFFSET($A$1, 239 - 1, 51 - 1)) &gt;= (OFFSET($A$1, 77 - 1, 7 - 1)), "1","0")</f>
        <v>0</v>
      </c>
      <c r="BB239">
        <f ca="1" xml:space="preserve"> IF( AND( OFFSET($A$1, 239 - 1, 52 - 1) = "1", OFFSET($A$1, 239 - 1, 53 - 1) = "1" ), 1, IF( AND( OFFSET($A$1, 239 - 1, 52 - 1) = "1", OFFSET($A$1, 239 - 1, 53 - 1) = "0" ), 2, IF( AND( OFFSET($A$1, 239 - 1, 52 - 1) = "0", OFFSET($A$1, 239 - 1, 53 - 1) = "1" ), 3, 4 ) ) )</f>
        <v>4</v>
      </c>
      <c r="BD239" s="7">
        <v>0</v>
      </c>
      <c r="BE239" s="7" t="str">
        <f>"0"</f>
        <v>0</v>
      </c>
      <c r="BF239" t="str">
        <f ca="1">IF((OFFSET($A$1, 239 - 1, 56 - 1)) &gt;= (OFFSET($A$1, 101 - 1, 7 - 1)), "1","0")</f>
        <v>0</v>
      </c>
      <c r="BG239">
        <f ca="1" xml:space="preserve"> IF( AND( OFFSET($A$1, 239 - 1, 57 - 1) = "1", OFFSET($A$1, 239 - 1, 58 - 1) = "1" ), 1, IF( AND( OFFSET($A$1, 239 - 1, 57 - 1) = "1", OFFSET($A$1, 239 - 1, 58 - 1) = "0" ), 2, IF( AND( OFFSET($A$1, 239 - 1, 57 - 1) = "0", OFFSET($A$1, 239 - 1, 58 - 1) = "1" ), 3, 4 ) ) )</f>
        <v>4</v>
      </c>
    </row>
    <row r="240" spans="51:59" x14ac:dyDescent="0.25">
      <c r="AY240" s="7">
        <v>0.58823529411764708</v>
      </c>
      <c r="AZ240" s="7" t="str">
        <f>"1"</f>
        <v>1</v>
      </c>
      <c r="BA240" t="str">
        <f ca="1">IF((OFFSET($A$1, 240 - 1, 51 - 1)) &gt;= (OFFSET($A$1, 77 - 1, 7 - 1)), "1","0")</f>
        <v>1</v>
      </c>
      <c r="BB240">
        <f ca="1" xml:space="preserve"> IF( AND( OFFSET($A$1, 240 - 1, 52 - 1) = "1", OFFSET($A$1, 240 - 1, 53 - 1) = "1" ), 1, IF( AND( OFFSET($A$1, 240 - 1, 52 - 1) = "1", OFFSET($A$1, 240 - 1, 53 - 1) = "0" ), 2, IF( AND( OFFSET($A$1, 240 - 1, 52 - 1) = "0", OFFSET($A$1, 240 - 1, 53 - 1) = "1" ), 3, 4 ) ) )</f>
        <v>1</v>
      </c>
      <c r="BD240" s="7">
        <v>0</v>
      </c>
      <c r="BE240" s="7" t="str">
        <f>"0"</f>
        <v>0</v>
      </c>
      <c r="BF240" t="str">
        <f ca="1">IF((OFFSET($A$1, 240 - 1, 56 - 1)) &gt;= (OFFSET($A$1, 101 - 1, 7 - 1)), "1","0")</f>
        <v>0</v>
      </c>
      <c r="BG240">
        <f ca="1" xml:space="preserve"> IF( AND( OFFSET($A$1, 240 - 1, 57 - 1) = "1", OFFSET($A$1, 240 - 1, 58 - 1) = "1" ), 1, IF( AND( OFFSET($A$1, 240 - 1, 57 - 1) = "1", OFFSET($A$1, 240 - 1, 58 - 1) = "0" ), 2, IF( AND( OFFSET($A$1, 240 - 1, 57 - 1) = "0", OFFSET($A$1, 240 - 1, 58 - 1) = "1" ), 3, 4 ) ) )</f>
        <v>4</v>
      </c>
    </row>
    <row r="241" spans="51:59" x14ac:dyDescent="0.25">
      <c r="AY241" s="7">
        <v>0</v>
      </c>
      <c r="AZ241" s="7" t="str">
        <f>"0"</f>
        <v>0</v>
      </c>
      <c r="BA241" t="str">
        <f ca="1">IF((OFFSET($A$1, 241 - 1, 51 - 1)) &gt;= (OFFSET($A$1, 77 - 1, 7 - 1)), "1","0")</f>
        <v>0</v>
      </c>
      <c r="BB241">
        <f ca="1" xml:space="preserve"> IF( AND( OFFSET($A$1, 241 - 1, 52 - 1) = "1", OFFSET($A$1, 241 - 1, 53 - 1) = "1" ), 1, IF( AND( OFFSET($A$1, 241 - 1, 52 - 1) = "1", OFFSET($A$1, 241 - 1, 53 - 1) = "0" ), 2, IF( AND( OFFSET($A$1, 241 - 1, 52 - 1) = "0", OFFSET($A$1, 241 - 1, 53 - 1) = "1" ), 3, 4 ) ) )</f>
        <v>4</v>
      </c>
      <c r="BD241" s="7">
        <v>0.94117647058823528</v>
      </c>
      <c r="BE241" s="7" t="str">
        <f>"1"</f>
        <v>1</v>
      </c>
      <c r="BF241" t="str">
        <f ca="1">IF((OFFSET($A$1, 241 - 1, 56 - 1)) &gt;= (OFFSET($A$1, 101 - 1, 7 - 1)), "1","0")</f>
        <v>1</v>
      </c>
      <c r="BG241">
        <f ca="1" xml:space="preserve"> IF( AND( OFFSET($A$1, 241 - 1, 57 - 1) = "1", OFFSET($A$1, 241 - 1, 58 - 1) = "1" ), 1, IF( AND( OFFSET($A$1, 241 - 1, 57 - 1) = "1", OFFSET($A$1, 241 - 1, 58 - 1) = "0" ), 2, IF( AND( OFFSET($A$1, 241 - 1, 57 - 1) = "0", OFFSET($A$1, 241 - 1, 58 - 1) = "1" ), 3, 4 ) ) )</f>
        <v>1</v>
      </c>
    </row>
    <row r="242" spans="51:59" x14ac:dyDescent="0.25">
      <c r="AY242" s="7">
        <v>0</v>
      </c>
      <c r="AZ242" s="7" t="str">
        <f>"0"</f>
        <v>0</v>
      </c>
      <c r="BA242" t="str">
        <f ca="1">IF((OFFSET($A$1, 242 - 1, 51 - 1)) &gt;= (OFFSET($A$1, 77 - 1, 7 - 1)), "1","0")</f>
        <v>0</v>
      </c>
      <c r="BB242">
        <f ca="1" xml:space="preserve"> IF( AND( OFFSET($A$1, 242 - 1, 52 - 1) = "1", OFFSET($A$1, 242 - 1, 53 - 1) = "1" ), 1, IF( AND( OFFSET($A$1, 242 - 1, 52 - 1) = "1", OFFSET($A$1, 242 - 1, 53 - 1) = "0" ), 2, IF( AND( OFFSET($A$1, 242 - 1, 52 - 1) = "0", OFFSET($A$1, 242 - 1, 53 - 1) = "1" ), 3, 4 ) ) )</f>
        <v>4</v>
      </c>
      <c r="BD242" s="7">
        <v>0</v>
      </c>
      <c r="BE242" s="7" t="str">
        <f>"0"</f>
        <v>0</v>
      </c>
      <c r="BF242" t="str">
        <f ca="1">IF((OFFSET($A$1, 242 - 1, 56 - 1)) &gt;= (OFFSET($A$1, 101 - 1, 7 - 1)), "1","0")</f>
        <v>0</v>
      </c>
      <c r="BG242">
        <f ca="1" xml:space="preserve"> IF( AND( OFFSET($A$1, 242 - 1, 57 - 1) = "1", OFFSET($A$1, 242 - 1, 58 - 1) = "1" ), 1, IF( AND( OFFSET($A$1, 242 - 1, 57 - 1) = "1", OFFSET($A$1, 242 - 1, 58 - 1) = "0" ), 2, IF( AND( OFFSET($A$1, 242 - 1, 57 - 1) = "0", OFFSET($A$1, 242 - 1, 58 - 1) = "1" ), 3, 4 ) ) )</f>
        <v>4</v>
      </c>
    </row>
    <row r="243" spans="51:59" x14ac:dyDescent="0.25">
      <c r="AY243" s="7">
        <v>1</v>
      </c>
      <c r="AZ243" s="7" t="str">
        <f>"1"</f>
        <v>1</v>
      </c>
      <c r="BA243" t="str">
        <f ca="1">IF((OFFSET($A$1, 243 - 1, 51 - 1)) &gt;= (OFFSET($A$1, 77 - 1, 7 - 1)), "1","0")</f>
        <v>1</v>
      </c>
      <c r="BB243">
        <f ca="1" xml:space="preserve"> IF( AND( OFFSET($A$1, 243 - 1, 52 - 1) = "1", OFFSET($A$1, 243 - 1, 53 - 1) = "1" ), 1, IF( AND( OFFSET($A$1, 243 - 1, 52 - 1) = "1", OFFSET($A$1, 243 - 1, 53 - 1) = "0" ), 2, IF( AND( OFFSET($A$1, 243 - 1, 52 - 1) = "0", OFFSET($A$1, 243 - 1, 53 - 1) = "1" ), 3, 4 ) ) )</f>
        <v>1</v>
      </c>
      <c r="BD243" s="7">
        <v>0.88235294117647056</v>
      </c>
      <c r="BE243" s="7" t="str">
        <f>"1"</f>
        <v>1</v>
      </c>
      <c r="BF243" t="str">
        <f ca="1">IF((OFFSET($A$1, 243 - 1, 56 - 1)) &gt;= (OFFSET($A$1, 101 - 1, 7 - 1)), "1","0")</f>
        <v>1</v>
      </c>
      <c r="BG243">
        <f ca="1" xml:space="preserve"> IF( AND( OFFSET($A$1, 243 - 1, 57 - 1) = "1", OFFSET($A$1, 243 - 1, 58 - 1) = "1" ), 1, IF( AND( OFFSET($A$1, 243 - 1, 57 - 1) = "1", OFFSET($A$1, 243 - 1, 58 - 1) = "0" ), 2, IF( AND( OFFSET($A$1, 243 - 1, 57 - 1) = "0", OFFSET($A$1, 243 - 1, 58 - 1) = "1" ), 3, 4 ) ) )</f>
        <v>1</v>
      </c>
    </row>
    <row r="244" spans="51:59" x14ac:dyDescent="0.25">
      <c r="AY244" s="7">
        <v>5.8823529411764705E-2</v>
      </c>
      <c r="AZ244" s="7" t="str">
        <f>"0"</f>
        <v>0</v>
      </c>
      <c r="BA244" t="str">
        <f ca="1">IF((OFFSET($A$1, 244 - 1, 51 - 1)) &gt;= (OFFSET($A$1, 77 - 1, 7 - 1)), "1","0")</f>
        <v>0</v>
      </c>
      <c r="BB244">
        <f ca="1" xml:space="preserve"> IF( AND( OFFSET($A$1, 244 - 1, 52 - 1) = "1", OFFSET($A$1, 244 - 1, 53 - 1) = "1" ), 1, IF( AND( OFFSET($A$1, 244 - 1, 52 - 1) = "1", OFFSET($A$1, 244 - 1, 53 - 1) = "0" ), 2, IF( AND( OFFSET($A$1, 244 - 1, 52 - 1) = "0", OFFSET($A$1, 244 - 1, 53 - 1) = "1" ), 3, 4 ) ) )</f>
        <v>4</v>
      </c>
      <c r="BD244" s="7">
        <v>0.17647058823529413</v>
      </c>
      <c r="BE244" s="7" t="str">
        <f>"0"</f>
        <v>0</v>
      </c>
      <c r="BF244" t="str">
        <f ca="1">IF((OFFSET($A$1, 244 - 1, 56 - 1)) &gt;= (OFFSET($A$1, 101 - 1, 7 - 1)), "1","0")</f>
        <v>0</v>
      </c>
      <c r="BG244">
        <f ca="1" xml:space="preserve"> IF( AND( OFFSET($A$1, 244 - 1, 57 - 1) = "1", OFFSET($A$1, 244 - 1, 58 - 1) = "1" ), 1, IF( AND( OFFSET($A$1, 244 - 1, 57 - 1) = "1", OFFSET($A$1, 244 - 1, 58 - 1) = "0" ), 2, IF( AND( OFFSET($A$1, 244 - 1, 57 - 1) = "0", OFFSET($A$1, 244 - 1, 58 - 1) = "1" ), 3, 4 ) ) )</f>
        <v>4</v>
      </c>
    </row>
    <row r="245" spans="51:59" x14ac:dyDescent="0.25">
      <c r="AY245" s="7">
        <v>0</v>
      </c>
      <c r="AZ245" s="7" t="str">
        <f>"0"</f>
        <v>0</v>
      </c>
      <c r="BA245" t="str">
        <f ca="1">IF((OFFSET($A$1, 245 - 1, 51 - 1)) &gt;= (OFFSET($A$1, 77 - 1, 7 - 1)), "1","0")</f>
        <v>0</v>
      </c>
      <c r="BB245">
        <f ca="1" xml:space="preserve"> IF( AND( OFFSET($A$1, 245 - 1, 52 - 1) = "1", OFFSET($A$1, 245 - 1, 53 - 1) = "1" ), 1, IF( AND( OFFSET($A$1, 245 - 1, 52 - 1) = "1", OFFSET($A$1, 245 - 1, 53 - 1) = "0" ), 2, IF( AND( OFFSET($A$1, 245 - 1, 52 - 1) = "0", OFFSET($A$1, 245 - 1, 53 - 1) = "1" ), 3, 4 ) ) )</f>
        <v>4</v>
      </c>
      <c r="BD245" s="7">
        <v>0</v>
      </c>
      <c r="BE245" s="7" t="str">
        <f>"0"</f>
        <v>0</v>
      </c>
      <c r="BF245" t="str">
        <f ca="1">IF((OFFSET($A$1, 245 - 1, 56 - 1)) &gt;= (OFFSET($A$1, 101 - 1, 7 - 1)), "1","0")</f>
        <v>0</v>
      </c>
      <c r="BG245">
        <f ca="1" xml:space="preserve"> IF( AND( OFFSET($A$1, 245 - 1, 57 - 1) = "1", OFFSET($A$1, 245 - 1, 58 - 1) = "1" ), 1, IF( AND( OFFSET($A$1, 245 - 1, 57 - 1) = "1", OFFSET($A$1, 245 - 1, 58 - 1) = "0" ), 2, IF( AND( OFFSET($A$1, 245 - 1, 57 - 1) = "0", OFFSET($A$1, 245 - 1, 58 - 1) = "1" ), 3, 4 ) ) )</f>
        <v>4</v>
      </c>
    </row>
    <row r="246" spans="51:59" x14ac:dyDescent="0.25">
      <c r="AY246" s="7">
        <v>0</v>
      </c>
      <c r="AZ246" s="7" t="str">
        <f>"0"</f>
        <v>0</v>
      </c>
      <c r="BA246" t="str">
        <f ca="1">IF((OFFSET($A$1, 246 - 1, 51 - 1)) &gt;= (OFFSET($A$1, 77 - 1, 7 - 1)), "1","0")</f>
        <v>0</v>
      </c>
      <c r="BB246">
        <f ca="1" xml:space="preserve"> IF( AND( OFFSET($A$1, 246 - 1, 52 - 1) = "1", OFFSET($A$1, 246 - 1, 53 - 1) = "1" ), 1, IF( AND( OFFSET($A$1, 246 - 1, 52 - 1) = "1", OFFSET($A$1, 246 - 1, 53 - 1) = "0" ), 2, IF( AND( OFFSET($A$1, 246 - 1, 52 - 1) = "0", OFFSET($A$1, 246 - 1, 53 - 1) = "1" ), 3, 4 ) ) )</f>
        <v>4</v>
      </c>
      <c r="BD246" s="7">
        <v>0</v>
      </c>
      <c r="BE246" s="7" t="str">
        <f>"0"</f>
        <v>0</v>
      </c>
      <c r="BF246" t="str">
        <f ca="1">IF((OFFSET($A$1, 246 - 1, 56 - 1)) &gt;= (OFFSET($A$1, 101 - 1, 7 - 1)), "1","0")</f>
        <v>0</v>
      </c>
      <c r="BG246">
        <f ca="1" xml:space="preserve"> IF( AND( OFFSET($A$1, 246 - 1, 57 - 1) = "1", OFFSET($A$1, 246 - 1, 58 - 1) = "1" ), 1, IF( AND( OFFSET($A$1, 246 - 1, 57 - 1) = "1", OFFSET($A$1, 246 - 1, 58 - 1) = "0" ), 2, IF( AND( OFFSET($A$1, 246 - 1, 57 - 1) = "0", OFFSET($A$1, 246 - 1, 58 - 1) = "1" ), 3, 4 ) ) )</f>
        <v>4</v>
      </c>
    </row>
    <row r="247" spans="51:59" x14ac:dyDescent="0.25">
      <c r="AY247" s="7">
        <v>0</v>
      </c>
      <c r="AZ247" s="7" t="str">
        <f>"0"</f>
        <v>0</v>
      </c>
      <c r="BA247" t="str">
        <f ca="1">IF((OFFSET($A$1, 247 - 1, 51 - 1)) &gt;= (OFFSET($A$1, 77 - 1, 7 - 1)), "1","0")</f>
        <v>0</v>
      </c>
      <c r="BB247">
        <f ca="1" xml:space="preserve"> IF( AND( OFFSET($A$1, 247 - 1, 52 - 1) = "1", OFFSET($A$1, 247 - 1, 53 - 1) = "1" ), 1, IF( AND( OFFSET($A$1, 247 - 1, 52 - 1) = "1", OFFSET($A$1, 247 - 1, 53 - 1) = "0" ), 2, IF( AND( OFFSET($A$1, 247 - 1, 52 - 1) = "0", OFFSET($A$1, 247 - 1, 53 - 1) = "1" ), 3, 4 ) ) )</f>
        <v>4</v>
      </c>
      <c r="BD247" s="7">
        <v>0.23529411764705882</v>
      </c>
      <c r="BE247" s="7" t="str">
        <f>"0"</f>
        <v>0</v>
      </c>
      <c r="BF247" t="str">
        <f ca="1">IF((OFFSET($A$1, 247 - 1, 56 - 1)) &gt;= (OFFSET($A$1, 101 - 1, 7 - 1)), "1","0")</f>
        <v>0</v>
      </c>
      <c r="BG247">
        <f ca="1" xml:space="preserve"> IF( AND( OFFSET($A$1, 247 - 1, 57 - 1) = "1", OFFSET($A$1, 247 - 1, 58 - 1) = "1" ), 1, IF( AND( OFFSET($A$1, 247 - 1, 57 - 1) = "1", OFFSET($A$1, 247 - 1, 58 - 1) = "0" ), 2, IF( AND( OFFSET($A$1, 247 - 1, 57 - 1) = "0", OFFSET($A$1, 247 - 1, 58 - 1) = "1" ), 3, 4 ) ) )</f>
        <v>4</v>
      </c>
    </row>
    <row r="248" spans="51:59" x14ac:dyDescent="0.25">
      <c r="AY248" s="7">
        <v>1</v>
      </c>
      <c r="AZ248" s="7" t="str">
        <f>"1"</f>
        <v>1</v>
      </c>
      <c r="BA248" t="str">
        <f ca="1">IF((OFFSET($A$1, 248 - 1, 51 - 1)) &gt;= (OFFSET($A$1, 77 - 1, 7 - 1)), "1","0")</f>
        <v>1</v>
      </c>
      <c r="BB248">
        <f ca="1" xml:space="preserve"> IF( AND( OFFSET($A$1, 248 - 1, 52 - 1) = "1", OFFSET($A$1, 248 - 1, 53 - 1) = "1" ), 1, IF( AND( OFFSET($A$1, 248 - 1, 52 - 1) = "1", OFFSET($A$1, 248 - 1, 53 - 1) = "0" ), 2, IF( AND( OFFSET($A$1, 248 - 1, 52 - 1) = "0", OFFSET($A$1, 248 - 1, 53 - 1) = "1" ), 3, 4 ) ) )</f>
        <v>1</v>
      </c>
      <c r="BD248" s="7">
        <v>0</v>
      </c>
      <c r="BE248" s="7" t="str">
        <f>"0"</f>
        <v>0</v>
      </c>
      <c r="BF248" t="str">
        <f ca="1">IF((OFFSET($A$1, 248 - 1, 56 - 1)) &gt;= (OFFSET($A$1, 101 - 1, 7 - 1)), "1","0")</f>
        <v>0</v>
      </c>
      <c r="BG248">
        <f ca="1" xml:space="preserve"> IF( AND( OFFSET($A$1, 248 - 1, 57 - 1) = "1", OFFSET($A$1, 248 - 1, 58 - 1) = "1" ), 1, IF( AND( OFFSET($A$1, 248 - 1, 57 - 1) = "1", OFFSET($A$1, 248 - 1, 58 - 1) = "0" ), 2, IF( AND( OFFSET($A$1, 248 - 1, 57 - 1) = "0", OFFSET($A$1, 248 - 1, 58 - 1) = "1" ), 3, 4 ) ) )</f>
        <v>4</v>
      </c>
    </row>
    <row r="249" spans="51:59" x14ac:dyDescent="0.25">
      <c r="AY249" s="7">
        <v>0.29411764705882354</v>
      </c>
      <c r="AZ249" s="7" t="str">
        <f>"1"</f>
        <v>1</v>
      </c>
      <c r="BA249" t="str">
        <f ca="1">IF((OFFSET($A$1, 249 - 1, 51 - 1)) &gt;= (OFFSET($A$1, 77 - 1, 7 - 1)), "1","0")</f>
        <v>0</v>
      </c>
      <c r="BB249">
        <f ca="1" xml:space="preserve"> IF( AND( OFFSET($A$1, 249 - 1, 52 - 1) = "1", OFFSET($A$1, 249 - 1, 53 - 1) = "1" ), 1, IF( AND( OFFSET($A$1, 249 - 1, 52 - 1) = "1", OFFSET($A$1, 249 - 1, 53 - 1) = "0" ), 2, IF( AND( OFFSET($A$1, 249 - 1, 52 - 1) = "0", OFFSET($A$1, 249 - 1, 53 - 1) = "1" ), 3, 4 ) ) )</f>
        <v>2</v>
      </c>
      <c r="BD249" s="7">
        <v>0.41176470588235292</v>
      </c>
      <c r="BE249" s="7" t="str">
        <f>"0"</f>
        <v>0</v>
      </c>
      <c r="BF249" t="str">
        <f ca="1">IF((OFFSET($A$1, 249 - 1, 56 - 1)) &gt;= (OFFSET($A$1, 101 - 1, 7 - 1)), "1","0")</f>
        <v>0</v>
      </c>
      <c r="BG249">
        <f ca="1" xml:space="preserve"> IF( AND( OFFSET($A$1, 249 - 1, 57 - 1) = "1", OFFSET($A$1, 249 - 1, 58 - 1) = "1" ), 1, IF( AND( OFFSET($A$1, 249 - 1, 57 - 1) = "1", OFFSET($A$1, 249 - 1, 58 - 1) = "0" ), 2, IF( AND( OFFSET($A$1, 249 - 1, 57 - 1) = "0", OFFSET($A$1, 249 - 1, 58 - 1) = "1" ), 3, 4 ) ) )</f>
        <v>4</v>
      </c>
    </row>
    <row r="250" spans="51:59" x14ac:dyDescent="0.25">
      <c r="AY250" s="7">
        <v>0.23529411764705882</v>
      </c>
      <c r="AZ250" s="7" t="str">
        <f>"0"</f>
        <v>0</v>
      </c>
      <c r="BA250" t="str">
        <f ca="1">IF((OFFSET($A$1, 250 - 1, 51 - 1)) &gt;= (OFFSET($A$1, 77 - 1, 7 - 1)), "1","0")</f>
        <v>0</v>
      </c>
      <c r="BB250">
        <f ca="1" xml:space="preserve"> IF( AND( OFFSET($A$1, 250 - 1, 52 - 1) = "1", OFFSET($A$1, 250 - 1, 53 - 1) = "1" ), 1, IF( AND( OFFSET($A$1, 250 - 1, 52 - 1) = "1", OFFSET($A$1, 250 - 1, 53 - 1) = "0" ), 2, IF( AND( OFFSET($A$1, 250 - 1, 52 - 1) = "0", OFFSET($A$1, 250 - 1, 53 - 1) = "1" ), 3, 4 ) ) )</f>
        <v>4</v>
      </c>
      <c r="BD250" s="7">
        <v>5.8823529411764705E-2</v>
      </c>
      <c r="BE250" s="7" t="str">
        <f>"0"</f>
        <v>0</v>
      </c>
      <c r="BF250" t="str">
        <f ca="1">IF((OFFSET($A$1, 250 - 1, 56 - 1)) &gt;= (OFFSET($A$1, 101 - 1, 7 - 1)), "1","0")</f>
        <v>0</v>
      </c>
      <c r="BG250">
        <f ca="1" xml:space="preserve"> IF( AND( OFFSET($A$1, 250 - 1, 57 - 1) = "1", OFFSET($A$1, 250 - 1, 58 - 1) = "1" ), 1, IF( AND( OFFSET($A$1, 250 - 1, 57 - 1) = "1", OFFSET($A$1, 250 - 1, 58 - 1) = "0" ), 2, IF( AND( OFFSET($A$1, 250 - 1, 57 - 1) = "0", OFFSET($A$1, 250 - 1, 58 - 1) = "1" ), 3, 4 ) ) )</f>
        <v>4</v>
      </c>
    </row>
    <row r="251" spans="51:59" x14ac:dyDescent="0.25">
      <c r="AY251" s="7">
        <v>0.11764705882352941</v>
      </c>
      <c r="AZ251" s="7" t="str">
        <f>"0"</f>
        <v>0</v>
      </c>
      <c r="BA251" t="str">
        <f ca="1">IF((OFFSET($A$1, 251 - 1, 51 - 1)) &gt;= (OFFSET($A$1, 77 - 1, 7 - 1)), "1","0")</f>
        <v>0</v>
      </c>
      <c r="BB251">
        <f ca="1" xml:space="preserve"> IF( AND( OFFSET($A$1, 251 - 1, 52 - 1) = "1", OFFSET($A$1, 251 - 1, 53 - 1) = "1" ), 1, IF( AND( OFFSET($A$1, 251 - 1, 52 - 1) = "1", OFFSET($A$1, 251 - 1, 53 - 1) = "0" ), 2, IF( AND( OFFSET($A$1, 251 - 1, 52 - 1) = "0", OFFSET($A$1, 251 - 1, 53 - 1) = "1" ), 3, 4 ) ) )</f>
        <v>4</v>
      </c>
      <c r="BD251" s="7">
        <v>0</v>
      </c>
      <c r="BE251" s="7" t="str">
        <f>"0"</f>
        <v>0</v>
      </c>
      <c r="BF251" t="str">
        <f ca="1">IF((OFFSET($A$1, 251 - 1, 56 - 1)) &gt;= (OFFSET($A$1, 101 - 1, 7 - 1)), "1","0")</f>
        <v>0</v>
      </c>
      <c r="BG251">
        <f ca="1" xml:space="preserve"> IF( AND( OFFSET($A$1, 251 - 1, 57 - 1) = "1", OFFSET($A$1, 251 - 1, 58 - 1) = "1" ), 1, IF( AND( OFFSET($A$1, 251 - 1, 57 - 1) = "1", OFFSET($A$1, 251 - 1, 58 - 1) = "0" ), 2, IF( AND( OFFSET($A$1, 251 - 1, 57 - 1) = "0", OFFSET($A$1, 251 - 1, 58 - 1) = "1" ), 3, 4 ) ) )</f>
        <v>4</v>
      </c>
    </row>
    <row r="252" spans="51:59" x14ac:dyDescent="0.25">
      <c r="AY252" s="7">
        <v>1</v>
      </c>
      <c r="AZ252" s="7" t="str">
        <f>"1"</f>
        <v>1</v>
      </c>
      <c r="BA252" t="str">
        <f ca="1">IF((OFFSET($A$1, 252 - 1, 51 - 1)) &gt;= (OFFSET($A$1, 77 - 1, 7 - 1)), "1","0")</f>
        <v>1</v>
      </c>
      <c r="BB252">
        <f ca="1" xml:space="preserve"> IF( AND( OFFSET($A$1, 252 - 1, 52 - 1) = "1", OFFSET($A$1, 252 - 1, 53 - 1) = "1" ), 1, IF( AND( OFFSET($A$1, 252 - 1, 52 - 1) = "1", OFFSET($A$1, 252 - 1, 53 - 1) = "0" ), 2, IF( AND( OFFSET($A$1, 252 - 1, 52 - 1) = "0", OFFSET($A$1, 252 - 1, 53 - 1) = "1" ), 3, 4 ) ) )</f>
        <v>1</v>
      </c>
      <c r="BD252" s="7">
        <v>0.70588235294117652</v>
      </c>
      <c r="BE252" s="7" t="str">
        <f>"1"</f>
        <v>1</v>
      </c>
      <c r="BF252" t="str">
        <f ca="1">IF((OFFSET($A$1, 252 - 1, 56 - 1)) &gt;= (OFFSET($A$1, 101 - 1, 7 - 1)), "1","0")</f>
        <v>1</v>
      </c>
      <c r="BG252">
        <f ca="1" xml:space="preserve"> IF( AND( OFFSET($A$1, 252 - 1, 57 - 1) = "1", OFFSET($A$1, 252 - 1, 58 - 1) = "1" ), 1, IF( AND( OFFSET($A$1, 252 - 1, 57 - 1) = "1", OFFSET($A$1, 252 - 1, 58 - 1) = "0" ), 2, IF( AND( OFFSET($A$1, 252 - 1, 57 - 1) = "0", OFFSET($A$1, 252 - 1, 58 - 1) = "1" ), 3, 4 ) ) )</f>
        <v>1</v>
      </c>
    </row>
    <row r="253" spans="51:59" x14ac:dyDescent="0.25">
      <c r="AY253" s="7">
        <v>0</v>
      </c>
      <c r="AZ253" s="7" t="str">
        <f>"0"</f>
        <v>0</v>
      </c>
      <c r="BA253" t="str">
        <f ca="1">IF((OFFSET($A$1, 253 - 1, 51 - 1)) &gt;= (OFFSET($A$1, 77 - 1, 7 - 1)), "1","0")</f>
        <v>0</v>
      </c>
      <c r="BB253">
        <f ca="1" xml:space="preserve"> IF( AND( OFFSET($A$1, 253 - 1, 52 - 1) = "1", OFFSET($A$1, 253 - 1, 53 - 1) = "1" ), 1, IF( AND( OFFSET($A$1, 253 - 1, 52 - 1) = "1", OFFSET($A$1, 253 - 1, 53 - 1) = "0" ), 2, IF( AND( OFFSET($A$1, 253 - 1, 52 - 1) = "0", OFFSET($A$1, 253 - 1, 53 - 1) = "1" ), 3, 4 ) ) )</f>
        <v>4</v>
      </c>
      <c r="BD253" s="7">
        <v>0.82352941176470584</v>
      </c>
      <c r="BE253" s="7" t="str">
        <f>"1"</f>
        <v>1</v>
      </c>
      <c r="BF253" t="str">
        <f ca="1">IF((OFFSET($A$1, 253 - 1, 56 - 1)) &gt;= (OFFSET($A$1, 101 - 1, 7 - 1)), "1","0")</f>
        <v>1</v>
      </c>
      <c r="BG253">
        <f ca="1" xml:space="preserve"> IF( AND( OFFSET($A$1, 253 - 1, 57 - 1) = "1", OFFSET($A$1, 253 - 1, 58 - 1) = "1" ), 1, IF( AND( OFFSET($A$1, 253 - 1, 57 - 1) = "1", OFFSET($A$1, 253 - 1, 58 - 1) = "0" ), 2, IF( AND( OFFSET($A$1, 253 - 1, 57 - 1) = "0", OFFSET($A$1, 253 - 1, 58 - 1) = "1" ), 3, 4 ) ) )</f>
        <v>1</v>
      </c>
    </row>
    <row r="254" spans="51:59" x14ac:dyDescent="0.25">
      <c r="AY254" s="7">
        <v>0</v>
      </c>
      <c r="AZ254" s="7" t="str">
        <f>"0"</f>
        <v>0</v>
      </c>
      <c r="BA254" t="str">
        <f ca="1">IF((OFFSET($A$1, 254 - 1, 51 - 1)) &gt;= (OFFSET($A$1, 77 - 1, 7 - 1)), "1","0")</f>
        <v>0</v>
      </c>
      <c r="BB254">
        <f ca="1" xml:space="preserve"> IF( AND( OFFSET($A$1, 254 - 1, 52 - 1) = "1", OFFSET($A$1, 254 - 1, 53 - 1) = "1" ), 1, IF( AND( OFFSET($A$1, 254 - 1, 52 - 1) = "1", OFFSET($A$1, 254 - 1, 53 - 1) = "0" ), 2, IF( AND( OFFSET($A$1, 254 - 1, 52 - 1) = "0", OFFSET($A$1, 254 - 1, 53 - 1) = "1" ), 3, 4 ) ) )</f>
        <v>4</v>
      </c>
      <c r="BD254" s="7">
        <v>0.82352941176470584</v>
      </c>
      <c r="BE254" s="7" t="str">
        <f>"1"</f>
        <v>1</v>
      </c>
      <c r="BF254" t="str">
        <f ca="1">IF((OFFSET($A$1, 254 - 1, 56 - 1)) &gt;= (OFFSET($A$1, 101 - 1, 7 - 1)), "1","0")</f>
        <v>1</v>
      </c>
      <c r="BG254">
        <f ca="1" xml:space="preserve"> IF( AND( OFFSET($A$1, 254 - 1, 57 - 1) = "1", OFFSET($A$1, 254 - 1, 58 - 1) = "1" ), 1, IF( AND( OFFSET($A$1, 254 - 1, 57 - 1) = "1", OFFSET($A$1, 254 - 1, 58 - 1) = "0" ), 2, IF( AND( OFFSET($A$1, 254 - 1, 57 - 1) = "0", OFFSET($A$1, 254 - 1, 58 - 1) = "1" ), 3, 4 ) ) )</f>
        <v>1</v>
      </c>
    </row>
    <row r="255" spans="51:59" x14ac:dyDescent="0.25">
      <c r="AY255" s="7">
        <v>0.94117647058823528</v>
      </c>
      <c r="AZ255" s="7" t="str">
        <f>"1"</f>
        <v>1</v>
      </c>
      <c r="BA255" t="str">
        <f ca="1">IF((OFFSET($A$1, 255 - 1, 51 - 1)) &gt;= (OFFSET($A$1, 77 - 1, 7 - 1)), "1","0")</f>
        <v>1</v>
      </c>
      <c r="BB255">
        <f ca="1" xml:space="preserve"> IF( AND( OFFSET($A$1, 255 - 1, 52 - 1) = "1", OFFSET($A$1, 255 - 1, 53 - 1) = "1" ), 1, IF( AND( OFFSET($A$1, 255 - 1, 52 - 1) = "1", OFFSET($A$1, 255 - 1, 53 - 1) = "0" ), 2, IF( AND( OFFSET($A$1, 255 - 1, 52 - 1) = "0", OFFSET($A$1, 255 - 1, 53 - 1) = "1" ), 3, 4 ) ) )</f>
        <v>1</v>
      </c>
      <c r="BD255" s="7">
        <v>0</v>
      </c>
      <c r="BE255" s="7" t="str">
        <f>"0"</f>
        <v>0</v>
      </c>
      <c r="BF255" t="str">
        <f ca="1">IF((OFFSET($A$1, 255 - 1, 56 - 1)) &gt;= (OFFSET($A$1, 101 - 1, 7 - 1)), "1","0")</f>
        <v>0</v>
      </c>
      <c r="BG255">
        <f ca="1" xml:space="preserve"> IF( AND( OFFSET($A$1, 255 - 1, 57 - 1) = "1", OFFSET($A$1, 255 - 1, 58 - 1) = "1" ), 1, IF( AND( OFFSET($A$1, 255 - 1, 57 - 1) = "1", OFFSET($A$1, 255 - 1, 58 - 1) = "0" ), 2, IF( AND( OFFSET($A$1, 255 - 1, 57 - 1) = "0", OFFSET($A$1, 255 - 1, 58 - 1) = "1" ), 3, 4 ) ) )</f>
        <v>4</v>
      </c>
    </row>
    <row r="256" spans="51:59" x14ac:dyDescent="0.25">
      <c r="AY256" s="7">
        <v>0.88235294117647056</v>
      </c>
      <c r="AZ256" s="7" t="str">
        <f>"1"</f>
        <v>1</v>
      </c>
      <c r="BA256" t="str">
        <f ca="1">IF((OFFSET($A$1, 256 - 1, 51 - 1)) &gt;= (OFFSET($A$1, 77 - 1, 7 - 1)), "1","0")</f>
        <v>1</v>
      </c>
      <c r="BB256">
        <f ca="1" xml:space="preserve"> IF( AND( OFFSET($A$1, 256 - 1, 52 - 1) = "1", OFFSET($A$1, 256 - 1, 53 - 1) = "1" ), 1, IF( AND( OFFSET($A$1, 256 - 1, 52 - 1) = "1", OFFSET($A$1, 256 - 1, 53 - 1) = "0" ), 2, IF( AND( OFFSET($A$1, 256 - 1, 52 - 1) = "0", OFFSET($A$1, 256 - 1, 53 - 1) = "1" ), 3, 4 ) ) )</f>
        <v>1</v>
      </c>
      <c r="BD256" s="7">
        <v>0</v>
      </c>
      <c r="BE256" s="7" t="str">
        <f>"0"</f>
        <v>0</v>
      </c>
      <c r="BF256" t="str">
        <f ca="1">IF((OFFSET($A$1, 256 - 1, 56 - 1)) &gt;= (OFFSET($A$1, 101 - 1, 7 - 1)), "1","0")</f>
        <v>0</v>
      </c>
      <c r="BG256">
        <f ca="1" xml:space="preserve"> IF( AND( OFFSET($A$1, 256 - 1, 57 - 1) = "1", OFFSET($A$1, 256 - 1, 58 - 1) = "1" ), 1, IF( AND( OFFSET($A$1, 256 - 1, 57 - 1) = "1", OFFSET($A$1, 256 - 1, 58 - 1) = "0" ), 2, IF( AND( OFFSET($A$1, 256 - 1, 57 - 1) = "0", OFFSET($A$1, 256 - 1, 58 - 1) = "1" ), 3, 4 ) ) )</f>
        <v>4</v>
      </c>
    </row>
    <row r="257" spans="51:59" x14ac:dyDescent="0.25">
      <c r="AY257" s="7">
        <v>0.23529411764705882</v>
      </c>
      <c r="AZ257" s="7" t="str">
        <f>"1"</f>
        <v>1</v>
      </c>
      <c r="BA257" t="str">
        <f ca="1">IF((OFFSET($A$1, 257 - 1, 51 - 1)) &gt;= (OFFSET($A$1, 77 - 1, 7 - 1)), "1","0")</f>
        <v>0</v>
      </c>
      <c r="BB257">
        <f ca="1" xml:space="preserve"> IF( AND( OFFSET($A$1, 257 - 1, 52 - 1) = "1", OFFSET($A$1, 257 - 1, 53 - 1) = "1" ), 1, IF( AND( OFFSET($A$1, 257 - 1, 52 - 1) = "1", OFFSET($A$1, 257 - 1, 53 - 1) = "0" ), 2, IF( AND( OFFSET($A$1, 257 - 1, 52 - 1) = "0", OFFSET($A$1, 257 - 1, 53 - 1) = "1" ), 3, 4 ) ) )</f>
        <v>2</v>
      </c>
      <c r="BD257" s="7">
        <v>0</v>
      </c>
      <c r="BE257" s="7" t="str">
        <f>"0"</f>
        <v>0</v>
      </c>
      <c r="BF257" t="str">
        <f ca="1">IF((OFFSET($A$1, 257 - 1, 56 - 1)) &gt;= (OFFSET($A$1, 101 - 1, 7 - 1)), "1","0")</f>
        <v>0</v>
      </c>
      <c r="BG257">
        <f ca="1" xml:space="preserve"> IF( AND( OFFSET($A$1, 257 - 1, 57 - 1) = "1", OFFSET($A$1, 257 - 1, 58 - 1) = "1" ), 1, IF( AND( OFFSET($A$1, 257 - 1, 57 - 1) = "1", OFFSET($A$1, 257 - 1, 58 - 1) = "0" ), 2, IF( AND( OFFSET($A$1, 257 - 1, 57 - 1) = "0", OFFSET($A$1, 257 - 1, 58 - 1) = "1" ), 3, 4 ) ) )</f>
        <v>4</v>
      </c>
    </row>
    <row r="258" spans="51:59" x14ac:dyDescent="0.25">
      <c r="AY258" s="7">
        <v>1</v>
      </c>
      <c r="AZ258" s="7" t="str">
        <f>"1"</f>
        <v>1</v>
      </c>
      <c r="BA258" t="str">
        <f ca="1">IF((OFFSET($A$1, 258 - 1, 51 - 1)) &gt;= (OFFSET($A$1, 77 - 1, 7 - 1)), "1","0")</f>
        <v>1</v>
      </c>
      <c r="BB258">
        <f ca="1" xml:space="preserve"> IF( AND( OFFSET($A$1, 258 - 1, 52 - 1) = "1", OFFSET($A$1, 258 - 1, 53 - 1) = "1" ), 1, IF( AND( OFFSET($A$1, 258 - 1, 52 - 1) = "1", OFFSET($A$1, 258 - 1, 53 - 1) = "0" ), 2, IF( AND( OFFSET($A$1, 258 - 1, 52 - 1) = "0", OFFSET($A$1, 258 - 1, 53 - 1) = "1" ), 3, 4 ) ) )</f>
        <v>1</v>
      </c>
      <c r="BD258" s="7">
        <v>0</v>
      </c>
      <c r="BE258" s="7" t="str">
        <f>"0"</f>
        <v>0</v>
      </c>
      <c r="BF258" t="str">
        <f ca="1">IF((OFFSET($A$1, 258 - 1, 56 - 1)) &gt;= (OFFSET($A$1, 101 - 1, 7 - 1)), "1","0")</f>
        <v>0</v>
      </c>
      <c r="BG258">
        <f ca="1" xml:space="preserve"> IF( AND( OFFSET($A$1, 258 - 1, 57 - 1) = "1", OFFSET($A$1, 258 - 1, 58 - 1) = "1" ), 1, IF( AND( OFFSET($A$1, 258 - 1, 57 - 1) = "1", OFFSET($A$1, 258 - 1, 58 - 1) = "0" ), 2, IF( AND( OFFSET($A$1, 258 - 1, 57 - 1) = "0", OFFSET($A$1, 258 - 1, 58 - 1) = "1" ), 3, 4 ) ) )</f>
        <v>4</v>
      </c>
    </row>
    <row r="259" spans="51:59" x14ac:dyDescent="0.25">
      <c r="AY259" s="7">
        <v>0</v>
      </c>
      <c r="AZ259" s="7" t="str">
        <f>"0"</f>
        <v>0</v>
      </c>
      <c r="BA259" t="str">
        <f ca="1">IF((OFFSET($A$1, 259 - 1, 51 - 1)) &gt;= (OFFSET($A$1, 77 - 1, 7 - 1)), "1","0")</f>
        <v>0</v>
      </c>
      <c r="BB259">
        <f ca="1" xml:space="preserve"> IF( AND( OFFSET($A$1, 259 - 1, 52 - 1) = "1", OFFSET($A$1, 259 - 1, 53 - 1) = "1" ), 1, IF( AND( OFFSET($A$1, 259 - 1, 52 - 1) = "1", OFFSET($A$1, 259 - 1, 53 - 1) = "0" ), 2, IF( AND( OFFSET($A$1, 259 - 1, 52 - 1) = "0", OFFSET($A$1, 259 - 1, 53 - 1) = "1" ), 3, 4 ) ) )</f>
        <v>4</v>
      </c>
      <c r="BD259" s="7">
        <v>0.23529411764705882</v>
      </c>
      <c r="BE259" s="7" t="str">
        <f>"1"</f>
        <v>1</v>
      </c>
      <c r="BF259" t="str">
        <f ca="1">IF((OFFSET($A$1, 259 - 1, 56 - 1)) &gt;= (OFFSET($A$1, 101 - 1, 7 - 1)), "1","0")</f>
        <v>0</v>
      </c>
      <c r="BG259">
        <f ca="1" xml:space="preserve"> IF( AND( OFFSET($A$1, 259 - 1, 57 - 1) = "1", OFFSET($A$1, 259 - 1, 58 - 1) = "1" ), 1, IF( AND( OFFSET($A$1, 259 - 1, 57 - 1) = "1", OFFSET($A$1, 259 - 1, 58 - 1) = "0" ), 2, IF( AND( OFFSET($A$1, 259 - 1, 57 - 1) = "0", OFFSET($A$1, 259 - 1, 58 - 1) = "1" ), 3, 4 ) ) )</f>
        <v>2</v>
      </c>
    </row>
    <row r="260" spans="51:59" x14ac:dyDescent="0.25">
      <c r="AY260" s="7">
        <v>0.88235294117647056</v>
      </c>
      <c r="AZ260" s="7" t="str">
        <f>"0"</f>
        <v>0</v>
      </c>
      <c r="BA260" t="str">
        <f ca="1">IF((OFFSET($A$1, 260 - 1, 51 - 1)) &gt;= (OFFSET($A$1, 77 - 1, 7 - 1)), "1","0")</f>
        <v>1</v>
      </c>
      <c r="BB260">
        <f ca="1" xml:space="preserve"> IF( AND( OFFSET($A$1, 260 - 1, 52 - 1) = "1", OFFSET($A$1, 260 - 1, 53 - 1) = "1" ), 1, IF( AND( OFFSET($A$1, 260 - 1, 52 - 1) = "1", OFFSET($A$1, 260 - 1, 53 - 1) = "0" ), 2, IF( AND( OFFSET($A$1, 260 - 1, 52 - 1) = "0", OFFSET($A$1, 260 - 1, 53 - 1) = "1" ), 3, 4 ) ) )</f>
        <v>3</v>
      </c>
      <c r="BD260" s="7">
        <v>0.41176470588235292</v>
      </c>
      <c r="BE260" s="7" t="str">
        <f>"0"</f>
        <v>0</v>
      </c>
      <c r="BF260" t="str">
        <f ca="1">IF((OFFSET($A$1, 260 - 1, 56 - 1)) &gt;= (OFFSET($A$1, 101 - 1, 7 - 1)), "1","0")</f>
        <v>0</v>
      </c>
      <c r="BG260">
        <f ca="1" xml:space="preserve"> IF( AND( OFFSET($A$1, 260 - 1, 57 - 1) = "1", OFFSET($A$1, 260 - 1, 58 - 1) = "1" ), 1, IF( AND( OFFSET($A$1, 260 - 1, 57 - 1) = "1", OFFSET($A$1, 260 - 1, 58 - 1) = "0" ), 2, IF( AND( OFFSET($A$1, 260 - 1, 57 - 1) = "0", OFFSET($A$1, 260 - 1, 58 - 1) = "1" ), 3, 4 ) ) )</f>
        <v>4</v>
      </c>
    </row>
    <row r="261" spans="51:59" x14ac:dyDescent="0.25">
      <c r="AY261" s="7">
        <v>0</v>
      </c>
      <c r="AZ261" s="7" t="str">
        <f>"0"</f>
        <v>0</v>
      </c>
      <c r="BA261" t="str">
        <f ca="1">IF((OFFSET($A$1, 261 - 1, 51 - 1)) &gt;= (OFFSET($A$1, 77 - 1, 7 - 1)), "1","0")</f>
        <v>0</v>
      </c>
      <c r="BB261">
        <f ca="1" xml:space="preserve"> IF( AND( OFFSET($A$1, 261 - 1, 52 - 1) = "1", OFFSET($A$1, 261 - 1, 53 - 1) = "1" ), 1, IF( AND( OFFSET($A$1, 261 - 1, 52 - 1) = "1", OFFSET($A$1, 261 - 1, 53 - 1) = "0" ), 2, IF( AND( OFFSET($A$1, 261 - 1, 52 - 1) = "0", OFFSET($A$1, 261 - 1, 53 - 1) = "1" ), 3, 4 ) ) )</f>
        <v>4</v>
      </c>
      <c r="BD261" s="7">
        <v>0</v>
      </c>
      <c r="BE261" s="7" t="str">
        <f>"0"</f>
        <v>0</v>
      </c>
      <c r="BF261" t="str">
        <f ca="1">IF((OFFSET($A$1, 261 - 1, 56 - 1)) &gt;= (OFFSET($A$1, 101 - 1, 7 - 1)), "1","0")</f>
        <v>0</v>
      </c>
      <c r="BG261">
        <f ca="1" xml:space="preserve"> IF( AND( OFFSET($A$1, 261 - 1, 57 - 1) = "1", OFFSET($A$1, 261 - 1, 58 - 1) = "1" ), 1, IF( AND( OFFSET($A$1, 261 - 1, 57 - 1) = "1", OFFSET($A$1, 261 - 1, 58 - 1) = "0" ), 2, IF( AND( OFFSET($A$1, 261 - 1, 57 - 1) = "0", OFFSET($A$1, 261 - 1, 58 - 1) = "1" ), 3, 4 ) ) )</f>
        <v>4</v>
      </c>
    </row>
    <row r="262" spans="51:59" x14ac:dyDescent="0.25">
      <c r="AY262" s="7">
        <v>0.29411764705882354</v>
      </c>
      <c r="AZ262" s="7" t="str">
        <f>"0"</f>
        <v>0</v>
      </c>
      <c r="BA262" t="str">
        <f ca="1">IF((OFFSET($A$1, 262 - 1, 51 - 1)) &gt;= (OFFSET($A$1, 77 - 1, 7 - 1)), "1","0")</f>
        <v>0</v>
      </c>
      <c r="BB262">
        <f ca="1" xml:space="preserve"> IF( AND( OFFSET($A$1, 262 - 1, 52 - 1) = "1", OFFSET($A$1, 262 - 1, 53 - 1) = "1" ), 1, IF( AND( OFFSET($A$1, 262 - 1, 52 - 1) = "1", OFFSET($A$1, 262 - 1, 53 - 1) = "0" ), 2, IF( AND( OFFSET($A$1, 262 - 1, 52 - 1) = "0", OFFSET($A$1, 262 - 1, 53 - 1) = "1" ), 3, 4 ) ) )</f>
        <v>4</v>
      </c>
      <c r="BD262" s="7">
        <v>0</v>
      </c>
      <c r="BE262" s="7" t="str">
        <f>"0"</f>
        <v>0</v>
      </c>
      <c r="BF262" t="str">
        <f ca="1">IF((OFFSET($A$1, 262 - 1, 56 - 1)) &gt;= (OFFSET($A$1, 101 - 1, 7 - 1)), "1","0")</f>
        <v>0</v>
      </c>
      <c r="BG262">
        <f ca="1" xml:space="preserve"> IF( AND( OFFSET($A$1, 262 - 1, 57 - 1) = "1", OFFSET($A$1, 262 - 1, 58 - 1) = "1" ), 1, IF( AND( OFFSET($A$1, 262 - 1, 57 - 1) = "1", OFFSET($A$1, 262 - 1, 58 - 1) = "0" ), 2, IF( AND( OFFSET($A$1, 262 - 1, 57 - 1) = "0", OFFSET($A$1, 262 - 1, 58 - 1) = "1" ), 3, 4 ) ) )</f>
        <v>4</v>
      </c>
    </row>
    <row r="263" spans="51:59" x14ac:dyDescent="0.25">
      <c r="AY263" s="7">
        <v>0.94117647058823528</v>
      </c>
      <c r="AZ263" s="7" t="str">
        <f>"1"</f>
        <v>1</v>
      </c>
      <c r="BA263" t="str">
        <f ca="1">IF((OFFSET($A$1, 263 - 1, 51 - 1)) &gt;= (OFFSET($A$1, 77 - 1, 7 - 1)), "1","0")</f>
        <v>1</v>
      </c>
      <c r="BB263">
        <f ca="1" xml:space="preserve"> IF( AND( OFFSET($A$1, 263 - 1, 52 - 1) = "1", OFFSET($A$1, 263 - 1, 53 - 1) = "1" ), 1, IF( AND( OFFSET($A$1, 263 - 1, 52 - 1) = "1", OFFSET($A$1, 263 - 1, 53 - 1) = "0" ), 2, IF( AND( OFFSET($A$1, 263 - 1, 52 - 1) = "0", OFFSET($A$1, 263 - 1, 53 - 1) = "1" ), 3, 4 ) ) )</f>
        <v>1</v>
      </c>
      <c r="BD263" s="7">
        <v>1</v>
      </c>
      <c r="BE263" s="7" t="str">
        <f>"1"</f>
        <v>1</v>
      </c>
      <c r="BF263" t="str">
        <f ca="1">IF((OFFSET($A$1, 263 - 1, 56 - 1)) &gt;= (OFFSET($A$1, 101 - 1, 7 - 1)), "1","0")</f>
        <v>1</v>
      </c>
      <c r="BG263">
        <f ca="1" xml:space="preserve"> IF( AND( OFFSET($A$1, 263 - 1, 57 - 1) = "1", OFFSET($A$1, 263 - 1, 58 - 1) = "1" ), 1, IF( AND( OFFSET($A$1, 263 - 1, 57 - 1) = "1", OFFSET($A$1, 263 - 1, 58 - 1) = "0" ), 2, IF( AND( OFFSET($A$1, 263 - 1, 57 - 1) = "0", OFFSET($A$1, 263 - 1, 58 - 1) = "1" ), 3, 4 ) ) )</f>
        <v>1</v>
      </c>
    </row>
    <row r="264" spans="51:59" x14ac:dyDescent="0.25">
      <c r="AY264" s="7">
        <v>0.82352941176470584</v>
      </c>
      <c r="AZ264" s="7" t="str">
        <f>"0"</f>
        <v>0</v>
      </c>
      <c r="BA264" t="str">
        <f ca="1">IF((OFFSET($A$1, 264 - 1, 51 - 1)) &gt;= (OFFSET($A$1, 77 - 1, 7 - 1)), "1","0")</f>
        <v>1</v>
      </c>
      <c r="BB264">
        <f ca="1" xml:space="preserve"> IF( AND( OFFSET($A$1, 264 - 1, 52 - 1) = "1", OFFSET($A$1, 264 - 1, 53 - 1) = "1" ), 1, IF( AND( OFFSET($A$1, 264 - 1, 52 - 1) = "1", OFFSET($A$1, 264 - 1, 53 - 1) = "0" ), 2, IF( AND( OFFSET($A$1, 264 - 1, 52 - 1) = "0", OFFSET($A$1, 264 - 1, 53 - 1) = "1" ), 3, 4 ) ) )</f>
        <v>3</v>
      </c>
      <c r="BD264" s="7">
        <v>1</v>
      </c>
      <c r="BE264" s="7" t="str">
        <f>"1"</f>
        <v>1</v>
      </c>
      <c r="BF264" t="str">
        <f ca="1">IF((OFFSET($A$1, 264 - 1, 56 - 1)) &gt;= (OFFSET($A$1, 101 - 1, 7 - 1)), "1","0")</f>
        <v>1</v>
      </c>
      <c r="BG264">
        <f ca="1" xml:space="preserve"> IF( AND( OFFSET($A$1, 264 - 1, 57 - 1) = "1", OFFSET($A$1, 264 - 1, 58 - 1) = "1" ), 1, IF( AND( OFFSET($A$1, 264 - 1, 57 - 1) = "1", OFFSET($A$1, 264 - 1, 58 - 1) = "0" ), 2, IF( AND( OFFSET($A$1, 264 - 1, 57 - 1) = "0", OFFSET($A$1, 264 - 1, 58 - 1) = "1" ), 3, 4 ) ) )</f>
        <v>1</v>
      </c>
    </row>
    <row r="265" spans="51:59" x14ac:dyDescent="0.25">
      <c r="AY265" s="7">
        <v>0</v>
      </c>
      <c r="AZ265" s="7" t="str">
        <f>"0"</f>
        <v>0</v>
      </c>
      <c r="BA265" t="str">
        <f ca="1">IF((OFFSET($A$1, 265 - 1, 51 - 1)) &gt;= (OFFSET($A$1, 77 - 1, 7 - 1)), "1","0")</f>
        <v>0</v>
      </c>
      <c r="BB265">
        <f ca="1" xml:space="preserve"> IF( AND( OFFSET($A$1, 265 - 1, 52 - 1) = "1", OFFSET($A$1, 265 - 1, 53 - 1) = "1" ), 1, IF( AND( OFFSET($A$1, 265 - 1, 52 - 1) = "1", OFFSET($A$1, 265 - 1, 53 - 1) = "0" ), 2, IF( AND( OFFSET($A$1, 265 - 1, 52 - 1) = "0", OFFSET($A$1, 265 - 1, 53 - 1) = "1" ), 3, 4 ) ) )</f>
        <v>4</v>
      </c>
      <c r="BD265" s="7">
        <v>0</v>
      </c>
      <c r="BE265" s="7" t="str">
        <f>"0"</f>
        <v>0</v>
      </c>
      <c r="BF265" t="str">
        <f ca="1">IF((OFFSET($A$1, 265 - 1, 56 - 1)) &gt;= (OFFSET($A$1, 101 - 1, 7 - 1)), "1","0")</f>
        <v>0</v>
      </c>
      <c r="BG265">
        <f ca="1" xml:space="preserve"> IF( AND( OFFSET($A$1, 265 - 1, 57 - 1) = "1", OFFSET($A$1, 265 - 1, 58 - 1) = "1" ), 1, IF( AND( OFFSET($A$1, 265 - 1, 57 - 1) = "1", OFFSET($A$1, 265 - 1, 58 - 1) = "0" ), 2, IF( AND( OFFSET($A$1, 265 - 1, 57 - 1) = "0", OFFSET($A$1, 265 - 1, 58 - 1) = "1" ), 3, 4 ) ) )</f>
        <v>4</v>
      </c>
    </row>
    <row r="266" spans="51:59" x14ac:dyDescent="0.25">
      <c r="AY266" s="7">
        <v>5.8823529411764705E-2</v>
      </c>
      <c r="AZ266" s="7" t="str">
        <f>"0"</f>
        <v>0</v>
      </c>
      <c r="BA266" t="str">
        <f ca="1">IF((OFFSET($A$1, 266 - 1, 51 - 1)) &gt;= (OFFSET($A$1, 77 - 1, 7 - 1)), "1","0")</f>
        <v>0</v>
      </c>
      <c r="BB266">
        <f ca="1" xml:space="preserve"> IF( AND( OFFSET($A$1, 266 - 1, 52 - 1) = "1", OFFSET($A$1, 266 - 1, 53 - 1) = "1" ), 1, IF( AND( OFFSET($A$1, 266 - 1, 52 - 1) = "1", OFFSET($A$1, 266 - 1, 53 - 1) = "0" ), 2, IF( AND( OFFSET($A$1, 266 - 1, 52 - 1) = "0", OFFSET($A$1, 266 - 1, 53 - 1) = "1" ), 3, 4 ) ) )</f>
        <v>4</v>
      </c>
      <c r="BD266" s="7">
        <v>0</v>
      </c>
      <c r="BE266" s="7" t="str">
        <f>"0"</f>
        <v>0</v>
      </c>
      <c r="BF266" t="str">
        <f ca="1">IF((OFFSET($A$1, 266 - 1, 56 - 1)) &gt;= (OFFSET($A$1, 101 - 1, 7 - 1)), "1","0")</f>
        <v>0</v>
      </c>
      <c r="BG266">
        <f ca="1" xml:space="preserve"> IF( AND( OFFSET($A$1, 266 - 1, 57 - 1) = "1", OFFSET($A$1, 266 - 1, 58 - 1) = "1" ), 1, IF( AND( OFFSET($A$1, 266 - 1, 57 - 1) = "1", OFFSET($A$1, 266 - 1, 58 - 1) = "0" ), 2, IF( AND( OFFSET($A$1, 266 - 1, 57 - 1) = "0", OFFSET($A$1, 266 - 1, 58 - 1) = "1" ), 3, 4 ) ) )</f>
        <v>4</v>
      </c>
    </row>
    <row r="267" spans="51:59" x14ac:dyDescent="0.25">
      <c r="AY267" s="7">
        <v>0</v>
      </c>
      <c r="AZ267" s="7" t="str">
        <f>"0"</f>
        <v>0</v>
      </c>
      <c r="BA267" t="str">
        <f ca="1">IF((OFFSET($A$1, 267 - 1, 51 - 1)) &gt;= (OFFSET($A$1, 77 - 1, 7 - 1)), "1","0")</f>
        <v>0</v>
      </c>
      <c r="BB267">
        <f ca="1" xml:space="preserve"> IF( AND( OFFSET($A$1, 267 - 1, 52 - 1) = "1", OFFSET($A$1, 267 - 1, 53 - 1) = "1" ), 1, IF( AND( OFFSET($A$1, 267 - 1, 52 - 1) = "1", OFFSET($A$1, 267 - 1, 53 - 1) = "0" ), 2, IF( AND( OFFSET($A$1, 267 - 1, 52 - 1) = "0", OFFSET($A$1, 267 - 1, 53 - 1) = "1" ), 3, 4 ) ) )</f>
        <v>4</v>
      </c>
      <c r="BD267" s="7">
        <v>5.8823529411764705E-2</v>
      </c>
      <c r="BE267" s="7" t="str">
        <f>"1"</f>
        <v>1</v>
      </c>
      <c r="BF267" t="str">
        <f ca="1">IF((OFFSET($A$1, 267 - 1, 56 - 1)) &gt;= (OFFSET($A$1, 101 - 1, 7 - 1)), "1","0")</f>
        <v>0</v>
      </c>
      <c r="BG267">
        <f ca="1" xml:space="preserve"> IF( AND( OFFSET($A$1, 267 - 1, 57 - 1) = "1", OFFSET($A$1, 267 - 1, 58 - 1) = "1" ), 1, IF( AND( OFFSET($A$1, 267 - 1, 57 - 1) = "1", OFFSET($A$1, 267 - 1, 58 - 1) = "0" ), 2, IF( AND( OFFSET($A$1, 267 - 1, 57 - 1) = "0", OFFSET($A$1, 267 - 1, 58 - 1) = "1" ), 3, 4 ) ) )</f>
        <v>2</v>
      </c>
    </row>
    <row r="268" spans="51:59" x14ac:dyDescent="0.25">
      <c r="AY268" s="7">
        <v>5.8823529411764705E-2</v>
      </c>
      <c r="AZ268" s="7" t="str">
        <f>"0"</f>
        <v>0</v>
      </c>
      <c r="BA268" t="str">
        <f ca="1">IF((OFFSET($A$1, 268 - 1, 51 - 1)) &gt;= (OFFSET($A$1, 77 - 1, 7 - 1)), "1","0")</f>
        <v>0</v>
      </c>
      <c r="BB268">
        <f ca="1" xml:space="preserve"> IF( AND( OFFSET($A$1, 268 - 1, 52 - 1) = "1", OFFSET($A$1, 268 - 1, 53 - 1) = "1" ), 1, IF( AND( OFFSET($A$1, 268 - 1, 52 - 1) = "1", OFFSET($A$1, 268 - 1, 53 - 1) = "0" ), 2, IF( AND( OFFSET($A$1, 268 - 1, 52 - 1) = "0", OFFSET($A$1, 268 - 1, 53 - 1) = "1" ), 3, 4 ) ) )</f>
        <v>4</v>
      </c>
      <c r="BD268" s="7">
        <v>0.88235294117647056</v>
      </c>
      <c r="BE268" s="7" t="str">
        <f>"0"</f>
        <v>0</v>
      </c>
      <c r="BF268" t="str">
        <f ca="1">IF((OFFSET($A$1, 268 - 1, 56 - 1)) &gt;= (OFFSET($A$1, 101 - 1, 7 - 1)), "1","0")</f>
        <v>1</v>
      </c>
      <c r="BG268">
        <f ca="1" xml:space="preserve"> IF( AND( OFFSET($A$1, 268 - 1, 57 - 1) = "1", OFFSET($A$1, 268 - 1, 58 - 1) = "1" ), 1, IF( AND( OFFSET($A$1, 268 - 1, 57 - 1) = "1", OFFSET($A$1, 268 - 1, 58 - 1) = "0" ), 2, IF( AND( OFFSET($A$1, 268 - 1, 57 - 1) = "0", OFFSET($A$1, 268 - 1, 58 - 1) = "1" ), 3, 4 ) ) )</f>
        <v>3</v>
      </c>
    </row>
    <row r="269" spans="51:59" x14ac:dyDescent="0.25">
      <c r="AY269" s="7">
        <v>1</v>
      </c>
      <c r="AZ269" s="7" t="str">
        <f>"1"</f>
        <v>1</v>
      </c>
      <c r="BA269" t="str">
        <f ca="1">IF((OFFSET($A$1, 269 - 1, 51 - 1)) &gt;= (OFFSET($A$1, 77 - 1, 7 - 1)), "1","0")</f>
        <v>1</v>
      </c>
      <c r="BB269">
        <f ca="1" xml:space="preserve"> IF( AND( OFFSET($A$1, 269 - 1, 52 - 1) = "1", OFFSET($A$1, 269 - 1, 53 - 1) = "1" ), 1, IF( AND( OFFSET($A$1, 269 - 1, 52 - 1) = "1", OFFSET($A$1, 269 - 1, 53 - 1) = "0" ), 2, IF( AND( OFFSET($A$1, 269 - 1, 52 - 1) = "0", OFFSET($A$1, 269 - 1, 53 - 1) = "1" ), 3, 4 ) ) )</f>
        <v>1</v>
      </c>
      <c r="BD269" s="7">
        <v>1</v>
      </c>
      <c r="BE269" s="7" t="str">
        <f>"1"</f>
        <v>1</v>
      </c>
      <c r="BF269" t="str">
        <f ca="1">IF((OFFSET($A$1, 269 - 1, 56 - 1)) &gt;= (OFFSET($A$1, 101 - 1, 7 - 1)), "1","0")</f>
        <v>1</v>
      </c>
      <c r="BG269">
        <f ca="1" xml:space="preserve"> IF( AND( OFFSET($A$1, 269 - 1, 57 - 1) = "1", OFFSET($A$1, 269 - 1, 58 - 1) = "1" ), 1, IF( AND( OFFSET($A$1, 269 - 1, 57 - 1) = "1", OFFSET($A$1, 269 - 1, 58 - 1) = "0" ), 2, IF( AND( OFFSET($A$1, 269 - 1, 57 - 1) = "0", OFFSET($A$1, 269 - 1, 58 - 1) = "1" ), 3, 4 ) ) )</f>
        <v>1</v>
      </c>
    </row>
    <row r="270" spans="51:59" x14ac:dyDescent="0.25">
      <c r="AY270" s="7">
        <v>1</v>
      </c>
      <c r="AZ270" s="7" t="str">
        <f>"1"</f>
        <v>1</v>
      </c>
      <c r="BA270" t="str">
        <f ca="1">IF((OFFSET($A$1, 270 - 1, 51 - 1)) &gt;= (OFFSET($A$1, 77 - 1, 7 - 1)), "1","0")</f>
        <v>1</v>
      </c>
      <c r="BB270">
        <f ca="1" xml:space="preserve"> IF( AND( OFFSET($A$1, 270 - 1, 52 - 1) = "1", OFFSET($A$1, 270 - 1, 53 - 1) = "1" ), 1, IF( AND( OFFSET($A$1, 270 - 1, 52 - 1) = "1", OFFSET($A$1, 270 - 1, 53 - 1) = "0" ), 2, IF( AND( OFFSET($A$1, 270 - 1, 52 - 1) = "0", OFFSET($A$1, 270 - 1, 53 - 1) = "1" ), 3, 4 ) ) )</f>
        <v>1</v>
      </c>
      <c r="BD270" s="7">
        <v>0.41176470588235292</v>
      </c>
      <c r="BE270" s="7" t="str">
        <f>"0"</f>
        <v>0</v>
      </c>
      <c r="BF270" t="str">
        <f ca="1">IF((OFFSET($A$1, 270 - 1, 56 - 1)) &gt;= (OFFSET($A$1, 101 - 1, 7 - 1)), "1","0")</f>
        <v>0</v>
      </c>
      <c r="BG270">
        <f ca="1" xml:space="preserve"> IF( AND( OFFSET($A$1, 270 - 1, 57 - 1) = "1", OFFSET($A$1, 270 - 1, 58 - 1) = "1" ), 1, IF( AND( OFFSET($A$1, 270 - 1, 57 - 1) = "1", OFFSET($A$1, 270 - 1, 58 - 1) = "0" ), 2, IF( AND( OFFSET($A$1, 270 - 1, 57 - 1) = "0", OFFSET($A$1, 270 - 1, 58 - 1) = "1" ), 3, 4 ) ) )</f>
        <v>4</v>
      </c>
    </row>
    <row r="271" spans="51:59" x14ac:dyDescent="0.25">
      <c r="AY271" s="7">
        <v>1</v>
      </c>
      <c r="AZ271" s="7" t="str">
        <f>"1"</f>
        <v>1</v>
      </c>
      <c r="BA271" t="str">
        <f ca="1">IF((OFFSET($A$1, 271 - 1, 51 - 1)) &gt;= (OFFSET($A$1, 77 - 1, 7 - 1)), "1","0")</f>
        <v>1</v>
      </c>
      <c r="BB271">
        <f ca="1" xml:space="preserve"> IF( AND( OFFSET($A$1, 271 - 1, 52 - 1) = "1", OFFSET($A$1, 271 - 1, 53 - 1) = "1" ), 1, IF( AND( OFFSET($A$1, 271 - 1, 52 - 1) = "1", OFFSET($A$1, 271 - 1, 53 - 1) = "0" ), 2, IF( AND( OFFSET($A$1, 271 - 1, 52 - 1) = "0", OFFSET($A$1, 271 - 1, 53 - 1) = "1" ), 3, 4 ) ) )</f>
        <v>1</v>
      </c>
      <c r="BD271" s="7">
        <v>1</v>
      </c>
      <c r="BE271" s="7" t="str">
        <f>"1"</f>
        <v>1</v>
      </c>
      <c r="BF271" t="str">
        <f ca="1">IF((OFFSET($A$1, 271 - 1, 56 - 1)) &gt;= (OFFSET($A$1, 101 - 1, 7 - 1)), "1","0")</f>
        <v>1</v>
      </c>
      <c r="BG271">
        <f ca="1" xml:space="preserve"> IF( AND( OFFSET($A$1, 271 - 1, 57 - 1) = "1", OFFSET($A$1, 271 - 1, 58 - 1) = "1" ), 1, IF( AND( OFFSET($A$1, 271 - 1, 57 - 1) = "1", OFFSET($A$1, 271 - 1, 58 - 1) = "0" ), 2, IF( AND( OFFSET($A$1, 271 - 1, 57 - 1) = "0", OFFSET($A$1, 271 - 1, 58 - 1) = "1" ), 3, 4 ) ) )</f>
        <v>1</v>
      </c>
    </row>
    <row r="272" spans="51:59" x14ac:dyDescent="0.25">
      <c r="AY272" s="7">
        <v>0.17647058823529413</v>
      </c>
      <c r="AZ272" s="7" t="str">
        <f>"0"</f>
        <v>0</v>
      </c>
      <c r="BA272" t="str">
        <f ca="1">IF((OFFSET($A$1, 272 - 1, 51 - 1)) &gt;= (OFFSET($A$1, 77 - 1, 7 - 1)), "1","0")</f>
        <v>0</v>
      </c>
      <c r="BB272">
        <f ca="1" xml:space="preserve"> IF( AND( OFFSET($A$1, 272 - 1, 52 - 1) = "1", OFFSET($A$1, 272 - 1, 53 - 1) = "1" ), 1, IF( AND( OFFSET($A$1, 272 - 1, 52 - 1) = "1", OFFSET($A$1, 272 - 1, 53 - 1) = "0" ), 2, IF( AND( OFFSET($A$1, 272 - 1, 52 - 1) = "0", OFFSET($A$1, 272 - 1, 53 - 1) = "1" ), 3, 4 ) ) )</f>
        <v>4</v>
      </c>
      <c r="BD272" s="7">
        <v>0.82352941176470584</v>
      </c>
      <c r="BE272" s="7" t="str">
        <f>"1"</f>
        <v>1</v>
      </c>
      <c r="BF272" t="str">
        <f ca="1">IF((OFFSET($A$1, 272 - 1, 56 - 1)) &gt;= (OFFSET($A$1, 101 - 1, 7 - 1)), "1","0")</f>
        <v>1</v>
      </c>
      <c r="BG272">
        <f ca="1" xml:space="preserve"> IF( AND( OFFSET($A$1, 272 - 1, 57 - 1) = "1", OFFSET($A$1, 272 - 1, 58 - 1) = "1" ), 1, IF( AND( OFFSET($A$1, 272 - 1, 57 - 1) = "1", OFFSET($A$1, 272 - 1, 58 - 1) = "0" ), 2, IF( AND( OFFSET($A$1, 272 - 1, 57 - 1) = "0", OFFSET($A$1, 272 - 1, 58 - 1) = "1" ), 3, 4 ) ) )</f>
        <v>1</v>
      </c>
    </row>
    <row r="273" spans="51:59" x14ac:dyDescent="0.25">
      <c r="AY273" s="7">
        <v>0</v>
      </c>
      <c r="AZ273" s="7" t="str">
        <f>"0"</f>
        <v>0</v>
      </c>
      <c r="BA273" t="str">
        <f ca="1">IF((OFFSET($A$1, 273 - 1, 51 - 1)) &gt;= (OFFSET($A$1, 77 - 1, 7 - 1)), "1","0")</f>
        <v>0</v>
      </c>
      <c r="BB273">
        <f ca="1" xml:space="preserve"> IF( AND( OFFSET($A$1, 273 - 1, 52 - 1) = "1", OFFSET($A$1, 273 - 1, 53 - 1) = "1" ), 1, IF( AND( OFFSET($A$1, 273 - 1, 52 - 1) = "1", OFFSET($A$1, 273 - 1, 53 - 1) = "0" ), 2, IF( AND( OFFSET($A$1, 273 - 1, 52 - 1) = "0", OFFSET($A$1, 273 - 1, 53 - 1) = "1" ), 3, 4 ) ) )</f>
        <v>4</v>
      </c>
      <c r="BD273" s="7">
        <v>0</v>
      </c>
      <c r="BE273" s="7" t="str">
        <f>"0"</f>
        <v>0</v>
      </c>
      <c r="BF273" t="str">
        <f ca="1">IF((OFFSET($A$1, 273 - 1, 56 - 1)) &gt;= (OFFSET($A$1, 101 - 1, 7 - 1)), "1","0")</f>
        <v>0</v>
      </c>
      <c r="BG273">
        <f ca="1" xml:space="preserve"> IF( AND( OFFSET($A$1, 273 - 1, 57 - 1) = "1", OFFSET($A$1, 273 - 1, 58 - 1) = "1" ), 1, IF( AND( OFFSET($A$1, 273 - 1, 57 - 1) = "1", OFFSET($A$1, 273 - 1, 58 - 1) = "0" ), 2, IF( AND( OFFSET($A$1, 273 - 1, 57 - 1) = "0", OFFSET($A$1, 273 - 1, 58 - 1) = "1" ), 3, 4 ) ) )</f>
        <v>4</v>
      </c>
    </row>
    <row r="274" spans="51:59" x14ac:dyDescent="0.25">
      <c r="AY274" s="7">
        <v>0</v>
      </c>
      <c r="AZ274" s="7" t="str">
        <f>"0"</f>
        <v>0</v>
      </c>
      <c r="BA274" t="str">
        <f ca="1">IF((OFFSET($A$1, 274 - 1, 51 - 1)) &gt;= (OFFSET($A$1, 77 - 1, 7 - 1)), "1","0")</f>
        <v>0</v>
      </c>
      <c r="BB274">
        <f ca="1" xml:space="preserve"> IF( AND( OFFSET($A$1, 274 - 1, 52 - 1) = "1", OFFSET($A$1, 274 - 1, 53 - 1) = "1" ), 1, IF( AND( OFFSET($A$1, 274 - 1, 52 - 1) = "1", OFFSET($A$1, 274 - 1, 53 - 1) = "0" ), 2, IF( AND( OFFSET($A$1, 274 - 1, 52 - 1) = "0", OFFSET($A$1, 274 - 1, 53 - 1) = "1" ), 3, 4 ) ) )</f>
        <v>4</v>
      </c>
      <c r="BD274" s="7">
        <v>5.8823529411764705E-2</v>
      </c>
      <c r="BE274" s="7" t="str">
        <f>"1"</f>
        <v>1</v>
      </c>
      <c r="BF274" t="str">
        <f ca="1">IF((OFFSET($A$1, 274 - 1, 56 - 1)) &gt;= (OFFSET($A$1, 101 - 1, 7 - 1)), "1","0")</f>
        <v>0</v>
      </c>
      <c r="BG274">
        <f ca="1" xml:space="preserve"> IF( AND( OFFSET($A$1, 274 - 1, 57 - 1) = "1", OFFSET($A$1, 274 - 1, 58 - 1) = "1" ), 1, IF( AND( OFFSET($A$1, 274 - 1, 57 - 1) = "1", OFFSET($A$1, 274 - 1, 58 - 1) = "0" ), 2, IF( AND( OFFSET($A$1, 274 - 1, 57 - 1) = "0", OFFSET($A$1, 274 - 1, 58 - 1) = "1" ), 3, 4 ) ) )</f>
        <v>2</v>
      </c>
    </row>
    <row r="275" spans="51:59" x14ac:dyDescent="0.25">
      <c r="AY275" s="7">
        <v>5.8823529411764705E-2</v>
      </c>
      <c r="AZ275" s="7" t="str">
        <f>"0"</f>
        <v>0</v>
      </c>
      <c r="BA275" t="str">
        <f ca="1">IF((OFFSET($A$1, 275 - 1, 51 - 1)) &gt;= (OFFSET($A$1, 77 - 1, 7 - 1)), "1","0")</f>
        <v>0</v>
      </c>
      <c r="BB275">
        <f ca="1" xml:space="preserve"> IF( AND( OFFSET($A$1, 275 - 1, 52 - 1) = "1", OFFSET($A$1, 275 - 1, 53 - 1) = "1" ), 1, IF( AND( OFFSET($A$1, 275 - 1, 52 - 1) = "1", OFFSET($A$1, 275 - 1, 53 - 1) = "0" ), 2, IF( AND( OFFSET($A$1, 275 - 1, 52 - 1) = "0", OFFSET($A$1, 275 - 1, 53 - 1) = "1" ), 3, 4 ) ) )</f>
        <v>4</v>
      </c>
      <c r="BD275" s="7">
        <v>1</v>
      </c>
      <c r="BE275" s="7" t="str">
        <f>"1"</f>
        <v>1</v>
      </c>
      <c r="BF275" t="str">
        <f ca="1">IF((OFFSET($A$1, 275 - 1, 56 - 1)) &gt;= (OFFSET($A$1, 101 - 1, 7 - 1)), "1","0")</f>
        <v>1</v>
      </c>
      <c r="BG275">
        <f ca="1" xml:space="preserve"> IF( AND( OFFSET($A$1, 275 - 1, 57 - 1) = "1", OFFSET($A$1, 275 - 1, 58 - 1) = "1" ), 1, IF( AND( OFFSET($A$1, 275 - 1, 57 - 1) = "1", OFFSET($A$1, 275 - 1, 58 - 1) = "0" ), 2, IF( AND( OFFSET($A$1, 275 - 1, 57 - 1) = "0", OFFSET($A$1, 275 - 1, 58 - 1) = "1" ), 3, 4 ) ) )</f>
        <v>1</v>
      </c>
    </row>
    <row r="276" spans="51:59" x14ac:dyDescent="0.25">
      <c r="AY276" s="7">
        <v>0</v>
      </c>
      <c r="AZ276" s="7" t="str">
        <f>"0"</f>
        <v>0</v>
      </c>
      <c r="BA276" t="str">
        <f ca="1">IF((OFFSET($A$1, 276 - 1, 51 - 1)) &gt;= (OFFSET($A$1, 77 - 1, 7 - 1)), "1","0")</f>
        <v>0</v>
      </c>
      <c r="BB276">
        <f ca="1" xml:space="preserve"> IF( AND( OFFSET($A$1, 276 - 1, 52 - 1) = "1", OFFSET($A$1, 276 - 1, 53 - 1) = "1" ), 1, IF( AND( OFFSET($A$1, 276 - 1, 52 - 1) = "1", OFFSET($A$1, 276 - 1, 53 - 1) = "0" ), 2, IF( AND( OFFSET($A$1, 276 - 1, 52 - 1) = "0", OFFSET($A$1, 276 - 1, 53 - 1) = "1" ), 3, 4 ) ) )</f>
        <v>4</v>
      </c>
      <c r="BD276" s="7">
        <v>0</v>
      </c>
      <c r="BE276" s="7" t="str">
        <f>"0"</f>
        <v>0</v>
      </c>
      <c r="BF276" t="str">
        <f ca="1">IF((OFFSET($A$1, 276 - 1, 56 - 1)) &gt;= (OFFSET($A$1, 101 - 1, 7 - 1)), "1","0")</f>
        <v>0</v>
      </c>
      <c r="BG276">
        <f ca="1" xml:space="preserve"> IF( AND( OFFSET($A$1, 276 - 1, 57 - 1) = "1", OFFSET($A$1, 276 - 1, 58 - 1) = "1" ), 1, IF( AND( OFFSET($A$1, 276 - 1, 57 - 1) = "1", OFFSET($A$1, 276 - 1, 58 - 1) = "0" ), 2, IF( AND( OFFSET($A$1, 276 - 1, 57 - 1) = "0", OFFSET($A$1, 276 - 1, 58 - 1) = "1" ), 3, 4 ) ) )</f>
        <v>4</v>
      </c>
    </row>
    <row r="277" spans="51:59" x14ac:dyDescent="0.25">
      <c r="AY277" s="7">
        <v>0.88235294117647056</v>
      </c>
      <c r="AZ277" s="7" t="str">
        <f>"1"</f>
        <v>1</v>
      </c>
      <c r="BA277" t="str">
        <f ca="1">IF((OFFSET($A$1, 277 - 1, 51 - 1)) &gt;= (OFFSET($A$1, 77 - 1, 7 - 1)), "1","0")</f>
        <v>1</v>
      </c>
      <c r="BB277">
        <f ca="1" xml:space="preserve"> IF( AND( OFFSET($A$1, 277 - 1, 52 - 1) = "1", OFFSET($A$1, 277 - 1, 53 - 1) = "1" ), 1, IF( AND( OFFSET($A$1, 277 - 1, 52 - 1) = "1", OFFSET($A$1, 277 - 1, 53 - 1) = "0" ), 2, IF( AND( OFFSET($A$1, 277 - 1, 52 - 1) = "0", OFFSET($A$1, 277 - 1, 53 - 1) = "1" ), 3, 4 ) ) )</f>
        <v>1</v>
      </c>
      <c r="BD277" s="7">
        <v>0.88235294117647056</v>
      </c>
      <c r="BE277" s="7" t="str">
        <f>"1"</f>
        <v>1</v>
      </c>
      <c r="BF277" t="str">
        <f ca="1">IF((OFFSET($A$1, 277 - 1, 56 - 1)) &gt;= (OFFSET($A$1, 101 - 1, 7 - 1)), "1","0")</f>
        <v>1</v>
      </c>
      <c r="BG277">
        <f ca="1" xml:space="preserve"> IF( AND( OFFSET($A$1, 277 - 1, 57 - 1) = "1", OFFSET($A$1, 277 - 1, 58 - 1) = "1" ), 1, IF( AND( OFFSET($A$1, 277 - 1, 57 - 1) = "1", OFFSET($A$1, 277 - 1, 58 - 1) = "0" ), 2, IF( AND( OFFSET($A$1, 277 - 1, 57 - 1) = "0", OFFSET($A$1, 277 - 1, 58 - 1) = "1" ), 3, 4 ) ) )</f>
        <v>1</v>
      </c>
    </row>
    <row r="278" spans="51:59" x14ac:dyDescent="0.25">
      <c r="AY278" s="7">
        <v>0</v>
      </c>
      <c r="AZ278" s="7" t="str">
        <f>"0"</f>
        <v>0</v>
      </c>
      <c r="BA278" t="str">
        <f ca="1">IF((OFFSET($A$1, 278 - 1, 51 - 1)) &gt;= (OFFSET($A$1, 77 - 1, 7 - 1)), "1","0")</f>
        <v>0</v>
      </c>
      <c r="BB278">
        <f ca="1" xml:space="preserve"> IF( AND( OFFSET($A$1, 278 - 1, 52 - 1) = "1", OFFSET($A$1, 278 - 1, 53 - 1) = "1" ), 1, IF( AND( OFFSET($A$1, 278 - 1, 52 - 1) = "1", OFFSET($A$1, 278 - 1, 53 - 1) = "0" ), 2, IF( AND( OFFSET($A$1, 278 - 1, 52 - 1) = "0", OFFSET($A$1, 278 - 1, 53 - 1) = "1" ), 3, 4 ) ) )</f>
        <v>4</v>
      </c>
      <c r="BD278" s="7">
        <v>0</v>
      </c>
      <c r="BE278" s="7" t="str">
        <f>"0"</f>
        <v>0</v>
      </c>
      <c r="BF278" t="str">
        <f ca="1">IF((OFFSET($A$1, 278 - 1, 56 - 1)) &gt;= (OFFSET($A$1, 101 - 1, 7 - 1)), "1","0")</f>
        <v>0</v>
      </c>
      <c r="BG278">
        <f ca="1" xml:space="preserve"> IF( AND( OFFSET($A$1, 278 - 1, 57 - 1) = "1", OFFSET($A$1, 278 - 1, 58 - 1) = "1" ), 1, IF( AND( OFFSET($A$1, 278 - 1, 57 - 1) = "1", OFFSET($A$1, 278 - 1, 58 - 1) = "0" ), 2, IF( AND( OFFSET($A$1, 278 - 1, 57 - 1) = "0", OFFSET($A$1, 278 - 1, 58 - 1) = "1" ), 3, 4 ) ) )</f>
        <v>4</v>
      </c>
    </row>
    <row r="279" spans="51:59" x14ac:dyDescent="0.25">
      <c r="AY279" s="7">
        <v>0.35294117647058826</v>
      </c>
      <c r="AZ279" s="7" t="str">
        <f>"0"</f>
        <v>0</v>
      </c>
      <c r="BA279" t="str">
        <f ca="1">IF((OFFSET($A$1, 279 - 1, 51 - 1)) &gt;= (OFFSET($A$1, 77 - 1, 7 - 1)), "1","0")</f>
        <v>0</v>
      </c>
      <c r="BB279">
        <f ca="1" xml:space="preserve"> IF( AND( OFFSET($A$1, 279 - 1, 52 - 1) = "1", OFFSET($A$1, 279 - 1, 53 - 1) = "1" ), 1, IF( AND( OFFSET($A$1, 279 - 1, 52 - 1) = "1", OFFSET($A$1, 279 - 1, 53 - 1) = "0" ), 2, IF( AND( OFFSET($A$1, 279 - 1, 52 - 1) = "0", OFFSET($A$1, 279 - 1, 53 - 1) = "1" ), 3, 4 ) ) )</f>
        <v>4</v>
      </c>
      <c r="BD279" s="7">
        <v>0.47058823529411764</v>
      </c>
      <c r="BE279" s="7" t="str">
        <f>"0"</f>
        <v>0</v>
      </c>
      <c r="BF279" t="str">
        <f ca="1">IF((OFFSET($A$1, 279 - 1, 56 - 1)) &gt;= (OFFSET($A$1, 101 - 1, 7 - 1)), "1","0")</f>
        <v>0</v>
      </c>
      <c r="BG279">
        <f ca="1" xml:space="preserve"> IF( AND( OFFSET($A$1, 279 - 1, 57 - 1) = "1", OFFSET($A$1, 279 - 1, 58 - 1) = "1" ), 1, IF( AND( OFFSET($A$1, 279 - 1, 57 - 1) = "1", OFFSET($A$1, 279 - 1, 58 - 1) = "0" ), 2, IF( AND( OFFSET($A$1, 279 - 1, 57 - 1) = "0", OFFSET($A$1, 279 - 1, 58 - 1) = "1" ), 3, 4 ) ) )</f>
        <v>4</v>
      </c>
    </row>
    <row r="280" spans="51:59" x14ac:dyDescent="0.25">
      <c r="AY280" s="7">
        <v>1</v>
      </c>
      <c r="AZ280" s="7" t="str">
        <f>"1"</f>
        <v>1</v>
      </c>
      <c r="BA280" t="str">
        <f ca="1">IF((OFFSET($A$1, 280 - 1, 51 - 1)) &gt;= (OFFSET($A$1, 77 - 1, 7 - 1)), "1","0")</f>
        <v>1</v>
      </c>
      <c r="BB280">
        <f ca="1" xml:space="preserve"> IF( AND( OFFSET($A$1, 280 - 1, 52 - 1) = "1", OFFSET($A$1, 280 - 1, 53 - 1) = "1" ), 1, IF( AND( OFFSET($A$1, 280 - 1, 52 - 1) = "1", OFFSET($A$1, 280 - 1, 53 - 1) = "0" ), 2, IF( AND( OFFSET($A$1, 280 - 1, 52 - 1) = "0", OFFSET($A$1, 280 - 1, 53 - 1) = "1" ), 3, 4 ) ) )</f>
        <v>1</v>
      </c>
      <c r="BD280" s="7">
        <v>1</v>
      </c>
      <c r="BE280" s="7" t="str">
        <f>"1"</f>
        <v>1</v>
      </c>
      <c r="BF280" t="str">
        <f ca="1">IF((OFFSET($A$1, 280 - 1, 56 - 1)) &gt;= (OFFSET($A$1, 101 - 1, 7 - 1)), "1","0")</f>
        <v>1</v>
      </c>
      <c r="BG280">
        <f ca="1" xml:space="preserve"> IF( AND( OFFSET($A$1, 280 - 1, 57 - 1) = "1", OFFSET($A$1, 280 - 1, 58 - 1) = "1" ), 1, IF( AND( OFFSET($A$1, 280 - 1, 57 - 1) = "1", OFFSET($A$1, 280 - 1, 58 - 1) = "0" ), 2, IF( AND( OFFSET($A$1, 280 - 1, 57 - 1) = "0", OFFSET($A$1, 280 - 1, 58 - 1) = "1" ), 3, 4 ) ) )</f>
        <v>1</v>
      </c>
    </row>
    <row r="281" spans="51:59" x14ac:dyDescent="0.25">
      <c r="AY281" s="7">
        <v>1</v>
      </c>
      <c r="AZ281" s="7" t="str">
        <f>"1"</f>
        <v>1</v>
      </c>
      <c r="BA281" t="str">
        <f ca="1">IF((OFFSET($A$1, 281 - 1, 51 - 1)) &gt;= (OFFSET($A$1, 77 - 1, 7 - 1)), "1","0")</f>
        <v>1</v>
      </c>
      <c r="BB281">
        <f ca="1" xml:space="preserve"> IF( AND( OFFSET($A$1, 281 - 1, 52 - 1) = "1", OFFSET($A$1, 281 - 1, 53 - 1) = "1" ), 1, IF( AND( OFFSET($A$1, 281 - 1, 52 - 1) = "1", OFFSET($A$1, 281 - 1, 53 - 1) = "0" ), 2, IF( AND( OFFSET($A$1, 281 - 1, 52 - 1) = "0", OFFSET($A$1, 281 - 1, 53 - 1) = "1" ), 3, 4 ) ) )</f>
        <v>1</v>
      </c>
      <c r="BD281" s="7">
        <v>0.29411764705882354</v>
      </c>
      <c r="BE281" s="7" t="str">
        <f>"1"</f>
        <v>1</v>
      </c>
      <c r="BF281" t="str">
        <f ca="1">IF((OFFSET($A$1, 281 - 1, 56 - 1)) &gt;= (OFFSET($A$1, 101 - 1, 7 - 1)), "1","0")</f>
        <v>0</v>
      </c>
      <c r="BG281">
        <f ca="1" xml:space="preserve"> IF( AND( OFFSET($A$1, 281 - 1, 57 - 1) = "1", OFFSET($A$1, 281 - 1, 58 - 1) = "1" ), 1, IF( AND( OFFSET($A$1, 281 - 1, 57 - 1) = "1", OFFSET($A$1, 281 - 1, 58 - 1) = "0" ), 2, IF( AND( OFFSET($A$1, 281 - 1, 57 - 1) = "0", OFFSET($A$1, 281 - 1, 58 - 1) = "1" ), 3, 4 ) ) )</f>
        <v>2</v>
      </c>
    </row>
    <row r="282" spans="51:59" x14ac:dyDescent="0.25">
      <c r="AY282" s="7">
        <v>0</v>
      </c>
      <c r="AZ282" s="7" t="str">
        <f>"0"</f>
        <v>0</v>
      </c>
      <c r="BA282" t="str">
        <f ca="1">IF((OFFSET($A$1, 282 - 1, 51 - 1)) &gt;= (OFFSET($A$1, 77 - 1, 7 - 1)), "1","0")</f>
        <v>0</v>
      </c>
      <c r="BB282">
        <f ca="1" xml:space="preserve"> IF( AND( OFFSET($A$1, 282 - 1, 52 - 1) = "1", OFFSET($A$1, 282 - 1, 53 - 1) = "1" ), 1, IF( AND( OFFSET($A$1, 282 - 1, 52 - 1) = "1", OFFSET($A$1, 282 - 1, 53 - 1) = "0" ), 2, IF( AND( OFFSET($A$1, 282 - 1, 52 - 1) = "0", OFFSET($A$1, 282 - 1, 53 - 1) = "1" ), 3, 4 ) ) )</f>
        <v>4</v>
      </c>
      <c r="BD282" s="7">
        <v>0.41176470588235292</v>
      </c>
      <c r="BE282" s="7" t="str">
        <f>"0"</f>
        <v>0</v>
      </c>
      <c r="BF282" t="str">
        <f ca="1">IF((OFFSET($A$1, 282 - 1, 56 - 1)) &gt;= (OFFSET($A$1, 101 - 1, 7 - 1)), "1","0")</f>
        <v>0</v>
      </c>
      <c r="BG282">
        <f ca="1" xml:space="preserve"> IF( AND( OFFSET($A$1, 282 - 1, 57 - 1) = "1", OFFSET($A$1, 282 - 1, 58 - 1) = "1" ), 1, IF( AND( OFFSET($A$1, 282 - 1, 57 - 1) = "1", OFFSET($A$1, 282 - 1, 58 - 1) = "0" ), 2, IF( AND( OFFSET($A$1, 282 - 1, 57 - 1) = "0", OFFSET($A$1, 282 - 1, 58 - 1) = "1" ), 3, 4 ) ) )</f>
        <v>4</v>
      </c>
    </row>
    <row r="283" spans="51:59" x14ac:dyDescent="0.25">
      <c r="AY283" s="7">
        <v>5.8823529411764705E-2</v>
      </c>
      <c r="AZ283" s="7" t="str">
        <f>"0"</f>
        <v>0</v>
      </c>
      <c r="BA283" t="str">
        <f ca="1">IF((OFFSET($A$1, 283 - 1, 51 - 1)) &gt;= (OFFSET($A$1, 77 - 1, 7 - 1)), "1","0")</f>
        <v>0</v>
      </c>
      <c r="BB283">
        <f ca="1" xml:space="preserve"> IF( AND( OFFSET($A$1, 283 - 1, 52 - 1) = "1", OFFSET($A$1, 283 - 1, 53 - 1) = "1" ), 1, IF( AND( OFFSET($A$1, 283 - 1, 52 - 1) = "1", OFFSET($A$1, 283 - 1, 53 - 1) = "0" ), 2, IF( AND( OFFSET($A$1, 283 - 1, 52 - 1) = "0", OFFSET($A$1, 283 - 1, 53 - 1) = "1" ), 3, 4 ) ) )</f>
        <v>4</v>
      </c>
      <c r="BD283" s="7">
        <v>5.8823529411764705E-2</v>
      </c>
      <c r="BE283" s="7" t="str">
        <f>"1"</f>
        <v>1</v>
      </c>
      <c r="BF283" t="str">
        <f ca="1">IF((OFFSET($A$1, 283 - 1, 56 - 1)) &gt;= (OFFSET($A$1, 101 - 1, 7 - 1)), "1","0")</f>
        <v>0</v>
      </c>
      <c r="BG283">
        <f ca="1" xml:space="preserve"> IF( AND( OFFSET($A$1, 283 - 1, 57 - 1) = "1", OFFSET($A$1, 283 - 1, 58 - 1) = "1" ), 1, IF( AND( OFFSET($A$1, 283 - 1, 57 - 1) = "1", OFFSET($A$1, 283 - 1, 58 - 1) = "0" ), 2, IF( AND( OFFSET($A$1, 283 - 1, 57 - 1) = "0", OFFSET($A$1, 283 - 1, 58 - 1) = "1" ), 3, 4 ) ) )</f>
        <v>2</v>
      </c>
    </row>
    <row r="284" spans="51:59" x14ac:dyDescent="0.25">
      <c r="AY284" s="7">
        <v>1</v>
      </c>
      <c r="AZ284" s="7" t="str">
        <f>"1"</f>
        <v>1</v>
      </c>
      <c r="BA284" t="str">
        <f ca="1">IF((OFFSET($A$1, 284 - 1, 51 - 1)) &gt;= (OFFSET($A$1, 77 - 1, 7 - 1)), "1","0")</f>
        <v>1</v>
      </c>
      <c r="BB284">
        <f ca="1" xml:space="preserve"> IF( AND( OFFSET($A$1, 284 - 1, 52 - 1) = "1", OFFSET($A$1, 284 - 1, 53 - 1) = "1" ), 1, IF( AND( OFFSET($A$1, 284 - 1, 52 - 1) = "1", OFFSET($A$1, 284 - 1, 53 - 1) = "0" ), 2, IF( AND( OFFSET($A$1, 284 - 1, 52 - 1) = "0", OFFSET($A$1, 284 - 1, 53 - 1) = "1" ), 3, 4 ) ) )</f>
        <v>1</v>
      </c>
      <c r="BD284" s="7">
        <v>5.8823529411764705E-2</v>
      </c>
      <c r="BE284" s="7" t="str">
        <f>"0"</f>
        <v>0</v>
      </c>
      <c r="BF284" t="str">
        <f ca="1">IF((OFFSET($A$1, 284 - 1, 56 - 1)) &gt;= (OFFSET($A$1, 101 - 1, 7 - 1)), "1","0")</f>
        <v>0</v>
      </c>
      <c r="BG284">
        <f ca="1" xml:space="preserve"> IF( AND( OFFSET($A$1, 284 - 1, 57 - 1) = "1", OFFSET($A$1, 284 - 1, 58 - 1) = "1" ), 1, IF( AND( OFFSET($A$1, 284 - 1, 57 - 1) = "1", OFFSET($A$1, 284 - 1, 58 - 1) = "0" ), 2, IF( AND( OFFSET($A$1, 284 - 1, 57 - 1) = "0", OFFSET($A$1, 284 - 1, 58 - 1) = "1" ), 3, 4 ) ) )</f>
        <v>4</v>
      </c>
    </row>
    <row r="285" spans="51:59" x14ac:dyDescent="0.25">
      <c r="AY285" s="7">
        <v>5.8823529411764705E-2</v>
      </c>
      <c r="AZ285" s="7" t="str">
        <f>"0"</f>
        <v>0</v>
      </c>
      <c r="BA285" t="str">
        <f ca="1">IF((OFFSET($A$1, 285 - 1, 51 - 1)) &gt;= (OFFSET($A$1, 77 - 1, 7 - 1)), "1","0")</f>
        <v>0</v>
      </c>
      <c r="BB285">
        <f ca="1" xml:space="preserve"> IF( AND( OFFSET($A$1, 285 - 1, 52 - 1) = "1", OFFSET($A$1, 285 - 1, 53 - 1) = "1" ), 1, IF( AND( OFFSET($A$1, 285 - 1, 52 - 1) = "1", OFFSET($A$1, 285 - 1, 53 - 1) = "0" ), 2, IF( AND( OFFSET($A$1, 285 - 1, 52 - 1) = "0", OFFSET($A$1, 285 - 1, 53 - 1) = "1" ), 3, 4 ) ) )</f>
        <v>4</v>
      </c>
      <c r="BD285" s="7">
        <v>0</v>
      </c>
      <c r="BE285" s="7" t="str">
        <f>"0"</f>
        <v>0</v>
      </c>
      <c r="BF285" t="str">
        <f ca="1">IF((OFFSET($A$1, 285 - 1, 56 - 1)) &gt;= (OFFSET($A$1, 101 - 1, 7 - 1)), "1","0")</f>
        <v>0</v>
      </c>
      <c r="BG285">
        <f ca="1" xml:space="preserve"> IF( AND( OFFSET($A$1, 285 - 1, 57 - 1) = "1", OFFSET($A$1, 285 - 1, 58 - 1) = "1" ), 1, IF( AND( OFFSET($A$1, 285 - 1, 57 - 1) = "1", OFFSET($A$1, 285 - 1, 58 - 1) = "0" ), 2, IF( AND( OFFSET($A$1, 285 - 1, 57 - 1) = "0", OFFSET($A$1, 285 - 1, 58 - 1) = "1" ), 3, 4 ) ) )</f>
        <v>4</v>
      </c>
    </row>
    <row r="286" spans="51:59" x14ac:dyDescent="0.25">
      <c r="AY286" s="7">
        <v>0.82352941176470584</v>
      </c>
      <c r="AZ286" s="7" t="str">
        <f>"1"</f>
        <v>1</v>
      </c>
      <c r="BA286" t="str">
        <f ca="1">IF((OFFSET($A$1, 286 - 1, 51 - 1)) &gt;= (OFFSET($A$1, 77 - 1, 7 - 1)), "1","0")</f>
        <v>1</v>
      </c>
      <c r="BB286">
        <f ca="1" xml:space="preserve"> IF( AND( OFFSET($A$1, 286 - 1, 52 - 1) = "1", OFFSET($A$1, 286 - 1, 53 - 1) = "1" ), 1, IF( AND( OFFSET($A$1, 286 - 1, 52 - 1) = "1", OFFSET($A$1, 286 - 1, 53 - 1) = "0" ), 2, IF( AND( OFFSET($A$1, 286 - 1, 52 - 1) = "0", OFFSET($A$1, 286 - 1, 53 - 1) = "1" ), 3, 4 ) ) )</f>
        <v>1</v>
      </c>
      <c r="BD286" s="7">
        <v>0</v>
      </c>
      <c r="BE286" s="7" t="str">
        <f>"0"</f>
        <v>0</v>
      </c>
      <c r="BF286" t="str">
        <f ca="1">IF((OFFSET($A$1, 286 - 1, 56 - 1)) &gt;= (OFFSET($A$1, 101 - 1, 7 - 1)), "1","0")</f>
        <v>0</v>
      </c>
      <c r="BG286">
        <f ca="1" xml:space="preserve"> IF( AND( OFFSET($A$1, 286 - 1, 57 - 1) = "1", OFFSET($A$1, 286 - 1, 58 - 1) = "1" ), 1, IF( AND( OFFSET($A$1, 286 - 1, 57 - 1) = "1", OFFSET($A$1, 286 - 1, 58 - 1) = "0" ), 2, IF( AND( OFFSET($A$1, 286 - 1, 57 - 1) = "0", OFFSET($A$1, 286 - 1, 58 - 1) = "1" ), 3, 4 ) ) )</f>
        <v>4</v>
      </c>
    </row>
    <row r="287" spans="51:59" x14ac:dyDescent="0.25">
      <c r="AY287" s="7">
        <v>0.23529411764705882</v>
      </c>
      <c r="AZ287" s="7" t="str">
        <f>"0"</f>
        <v>0</v>
      </c>
      <c r="BA287" t="str">
        <f ca="1">IF((OFFSET($A$1, 287 - 1, 51 - 1)) &gt;= (OFFSET($A$1, 77 - 1, 7 - 1)), "1","0")</f>
        <v>0</v>
      </c>
      <c r="BB287">
        <f ca="1" xml:space="preserve"> IF( AND( OFFSET($A$1, 287 - 1, 52 - 1) = "1", OFFSET($A$1, 287 - 1, 53 - 1) = "1" ), 1, IF( AND( OFFSET($A$1, 287 - 1, 52 - 1) = "1", OFFSET($A$1, 287 - 1, 53 - 1) = "0" ), 2, IF( AND( OFFSET($A$1, 287 - 1, 52 - 1) = "0", OFFSET($A$1, 287 - 1, 53 - 1) = "1" ), 3, 4 ) ) )</f>
        <v>4</v>
      </c>
      <c r="BD287" s="7">
        <v>0</v>
      </c>
      <c r="BE287" s="7" t="str">
        <f>"0"</f>
        <v>0</v>
      </c>
      <c r="BF287" t="str">
        <f ca="1">IF((OFFSET($A$1, 287 - 1, 56 - 1)) &gt;= (OFFSET($A$1, 101 - 1, 7 - 1)), "1","0")</f>
        <v>0</v>
      </c>
      <c r="BG287">
        <f ca="1" xml:space="preserve"> IF( AND( OFFSET($A$1, 287 - 1, 57 - 1) = "1", OFFSET($A$1, 287 - 1, 58 - 1) = "1" ), 1, IF( AND( OFFSET($A$1, 287 - 1, 57 - 1) = "1", OFFSET($A$1, 287 - 1, 58 - 1) = "0" ), 2, IF( AND( OFFSET($A$1, 287 - 1, 57 - 1) = "0", OFFSET($A$1, 287 - 1, 58 - 1) = "1" ), 3, 4 ) ) )</f>
        <v>4</v>
      </c>
    </row>
    <row r="288" spans="51:59" x14ac:dyDescent="0.25">
      <c r="AY288" s="7">
        <v>0</v>
      </c>
      <c r="AZ288" s="7" t="str">
        <f>"0"</f>
        <v>0</v>
      </c>
      <c r="BA288" t="str">
        <f ca="1">IF((OFFSET($A$1, 288 - 1, 51 - 1)) &gt;= (OFFSET($A$1, 77 - 1, 7 - 1)), "1","0")</f>
        <v>0</v>
      </c>
      <c r="BB288">
        <f ca="1" xml:space="preserve"> IF( AND( OFFSET($A$1, 288 - 1, 52 - 1) = "1", OFFSET($A$1, 288 - 1, 53 - 1) = "1" ), 1, IF( AND( OFFSET($A$1, 288 - 1, 52 - 1) = "1", OFFSET($A$1, 288 - 1, 53 - 1) = "0" ), 2, IF( AND( OFFSET($A$1, 288 - 1, 52 - 1) = "0", OFFSET($A$1, 288 - 1, 53 - 1) = "1" ), 3, 4 ) ) )</f>
        <v>4</v>
      </c>
      <c r="BD288" s="7">
        <v>1</v>
      </c>
      <c r="BE288" s="7" t="str">
        <f>"1"</f>
        <v>1</v>
      </c>
      <c r="BF288" t="str">
        <f ca="1">IF((OFFSET($A$1, 288 - 1, 56 - 1)) &gt;= (OFFSET($A$1, 101 - 1, 7 - 1)), "1","0")</f>
        <v>1</v>
      </c>
      <c r="BG288">
        <f ca="1" xml:space="preserve"> IF( AND( OFFSET($A$1, 288 - 1, 57 - 1) = "1", OFFSET($A$1, 288 - 1, 58 - 1) = "1" ), 1, IF( AND( OFFSET($A$1, 288 - 1, 57 - 1) = "1", OFFSET($A$1, 288 - 1, 58 - 1) = "0" ), 2, IF( AND( OFFSET($A$1, 288 - 1, 57 - 1) = "0", OFFSET($A$1, 288 - 1, 58 - 1) = "1" ), 3, 4 ) ) )</f>
        <v>1</v>
      </c>
    </row>
    <row r="289" spans="51:59" x14ac:dyDescent="0.25">
      <c r="AY289" s="7">
        <v>0</v>
      </c>
      <c r="AZ289" s="7" t="str">
        <f>"0"</f>
        <v>0</v>
      </c>
      <c r="BA289" t="str">
        <f ca="1">IF((OFFSET($A$1, 289 - 1, 51 - 1)) &gt;= (OFFSET($A$1, 77 - 1, 7 - 1)), "1","0")</f>
        <v>0</v>
      </c>
      <c r="BB289">
        <f ca="1" xml:space="preserve"> IF( AND( OFFSET($A$1, 289 - 1, 52 - 1) = "1", OFFSET($A$1, 289 - 1, 53 - 1) = "1" ), 1, IF( AND( OFFSET($A$1, 289 - 1, 52 - 1) = "1", OFFSET($A$1, 289 - 1, 53 - 1) = "0" ), 2, IF( AND( OFFSET($A$1, 289 - 1, 52 - 1) = "0", OFFSET($A$1, 289 - 1, 53 - 1) = "1" ), 3, 4 ) ) )</f>
        <v>4</v>
      </c>
      <c r="BD289" s="7">
        <v>0</v>
      </c>
      <c r="BE289" s="7" t="str">
        <f>"0"</f>
        <v>0</v>
      </c>
      <c r="BF289" t="str">
        <f ca="1">IF((OFFSET($A$1, 289 - 1, 56 - 1)) &gt;= (OFFSET($A$1, 101 - 1, 7 - 1)), "1","0")</f>
        <v>0</v>
      </c>
      <c r="BG289">
        <f ca="1" xml:space="preserve"> IF( AND( OFFSET($A$1, 289 - 1, 57 - 1) = "1", OFFSET($A$1, 289 - 1, 58 - 1) = "1" ), 1, IF( AND( OFFSET($A$1, 289 - 1, 57 - 1) = "1", OFFSET($A$1, 289 - 1, 58 - 1) = "0" ), 2, IF( AND( OFFSET($A$1, 289 - 1, 57 - 1) = "0", OFFSET($A$1, 289 - 1, 58 - 1) = "1" ), 3, 4 ) ) )</f>
        <v>4</v>
      </c>
    </row>
    <row r="290" spans="51:59" x14ac:dyDescent="0.25">
      <c r="AY290" s="7">
        <v>0.94117647058823528</v>
      </c>
      <c r="AZ290" s="7" t="str">
        <f>"1"</f>
        <v>1</v>
      </c>
      <c r="BA290" t="str">
        <f ca="1">IF((OFFSET($A$1, 290 - 1, 51 - 1)) &gt;= (OFFSET($A$1, 77 - 1, 7 - 1)), "1","0")</f>
        <v>1</v>
      </c>
      <c r="BB290">
        <f ca="1" xml:space="preserve"> IF( AND( OFFSET($A$1, 290 - 1, 52 - 1) = "1", OFFSET($A$1, 290 - 1, 53 - 1) = "1" ), 1, IF( AND( OFFSET($A$1, 290 - 1, 52 - 1) = "1", OFFSET($A$1, 290 - 1, 53 - 1) = "0" ), 2, IF( AND( OFFSET($A$1, 290 - 1, 52 - 1) = "0", OFFSET($A$1, 290 - 1, 53 - 1) = "1" ), 3, 4 ) ) )</f>
        <v>1</v>
      </c>
      <c r="BD290" s="7">
        <v>0</v>
      </c>
      <c r="BE290" s="7" t="str">
        <f>"0"</f>
        <v>0</v>
      </c>
      <c r="BF290" t="str">
        <f ca="1">IF((OFFSET($A$1, 290 - 1, 56 - 1)) &gt;= (OFFSET($A$1, 101 - 1, 7 - 1)), "1","0")</f>
        <v>0</v>
      </c>
      <c r="BG290">
        <f ca="1" xml:space="preserve"> IF( AND( OFFSET($A$1, 290 - 1, 57 - 1) = "1", OFFSET($A$1, 290 - 1, 58 - 1) = "1" ), 1, IF( AND( OFFSET($A$1, 290 - 1, 57 - 1) = "1", OFFSET($A$1, 290 - 1, 58 - 1) = "0" ), 2, IF( AND( OFFSET($A$1, 290 - 1, 57 - 1) = "0", OFFSET($A$1, 290 - 1, 58 - 1) = "1" ), 3, 4 ) ) )</f>
        <v>4</v>
      </c>
    </row>
    <row r="291" spans="51:59" x14ac:dyDescent="0.25">
      <c r="AY291" s="7">
        <v>0</v>
      </c>
      <c r="AZ291" s="7" t="str">
        <f>"0"</f>
        <v>0</v>
      </c>
      <c r="BA291" t="str">
        <f ca="1">IF((OFFSET($A$1, 291 - 1, 51 - 1)) &gt;= (OFFSET($A$1, 77 - 1, 7 - 1)), "1","0")</f>
        <v>0</v>
      </c>
      <c r="BB291">
        <f ca="1" xml:space="preserve"> IF( AND( OFFSET($A$1, 291 - 1, 52 - 1) = "1", OFFSET($A$1, 291 - 1, 53 - 1) = "1" ), 1, IF( AND( OFFSET($A$1, 291 - 1, 52 - 1) = "1", OFFSET($A$1, 291 - 1, 53 - 1) = "0" ), 2, IF( AND( OFFSET($A$1, 291 - 1, 52 - 1) = "0", OFFSET($A$1, 291 - 1, 53 - 1) = "1" ), 3, 4 ) ) )</f>
        <v>4</v>
      </c>
      <c r="BD291" s="7">
        <v>0</v>
      </c>
      <c r="BE291" s="7" t="str">
        <f>"0"</f>
        <v>0</v>
      </c>
      <c r="BF291" t="str">
        <f ca="1">IF((OFFSET($A$1, 291 - 1, 56 - 1)) &gt;= (OFFSET($A$1, 101 - 1, 7 - 1)), "1","0")</f>
        <v>0</v>
      </c>
      <c r="BG291">
        <f ca="1" xml:space="preserve"> IF( AND( OFFSET($A$1, 291 - 1, 57 - 1) = "1", OFFSET($A$1, 291 - 1, 58 - 1) = "1" ), 1, IF( AND( OFFSET($A$1, 291 - 1, 57 - 1) = "1", OFFSET($A$1, 291 - 1, 58 - 1) = "0" ), 2, IF( AND( OFFSET($A$1, 291 - 1, 57 - 1) = "0", OFFSET($A$1, 291 - 1, 58 - 1) = "1" ), 3, 4 ) ) )</f>
        <v>4</v>
      </c>
    </row>
    <row r="292" spans="51:59" x14ac:dyDescent="0.25">
      <c r="AY292" s="7">
        <v>1</v>
      </c>
      <c r="AZ292" s="7" t="str">
        <f>"1"</f>
        <v>1</v>
      </c>
      <c r="BA292" t="str">
        <f ca="1">IF((OFFSET($A$1, 292 - 1, 51 - 1)) &gt;= (OFFSET($A$1, 77 - 1, 7 - 1)), "1","0")</f>
        <v>1</v>
      </c>
      <c r="BB292">
        <f ca="1" xml:space="preserve"> IF( AND( OFFSET($A$1, 292 - 1, 52 - 1) = "1", OFFSET($A$1, 292 - 1, 53 - 1) = "1" ), 1, IF( AND( OFFSET($A$1, 292 - 1, 52 - 1) = "1", OFFSET($A$1, 292 - 1, 53 - 1) = "0" ), 2, IF( AND( OFFSET($A$1, 292 - 1, 52 - 1) = "0", OFFSET($A$1, 292 - 1, 53 - 1) = "1" ), 3, 4 ) ) )</f>
        <v>1</v>
      </c>
      <c r="BD292" s="7">
        <v>0</v>
      </c>
      <c r="BE292" s="7" t="str">
        <f>"0"</f>
        <v>0</v>
      </c>
      <c r="BF292" t="str">
        <f ca="1">IF((OFFSET($A$1, 292 - 1, 56 - 1)) &gt;= (OFFSET($A$1, 101 - 1, 7 - 1)), "1","0")</f>
        <v>0</v>
      </c>
      <c r="BG292">
        <f ca="1" xml:space="preserve"> IF( AND( OFFSET($A$1, 292 - 1, 57 - 1) = "1", OFFSET($A$1, 292 - 1, 58 - 1) = "1" ), 1, IF( AND( OFFSET($A$1, 292 - 1, 57 - 1) = "1", OFFSET($A$1, 292 - 1, 58 - 1) = "0" ), 2, IF( AND( OFFSET($A$1, 292 - 1, 57 - 1) = "0", OFFSET($A$1, 292 - 1, 58 - 1) = "1" ), 3, 4 ) ) )</f>
        <v>4</v>
      </c>
    </row>
    <row r="293" spans="51:59" x14ac:dyDescent="0.25">
      <c r="AY293" s="7">
        <v>0.82352941176470584</v>
      </c>
      <c r="AZ293" s="7" t="str">
        <f>"0"</f>
        <v>0</v>
      </c>
      <c r="BA293" t="str">
        <f ca="1">IF((OFFSET($A$1, 293 - 1, 51 - 1)) &gt;= (OFFSET($A$1, 77 - 1, 7 - 1)), "1","0")</f>
        <v>1</v>
      </c>
      <c r="BB293">
        <f ca="1" xml:space="preserve"> IF( AND( OFFSET($A$1, 293 - 1, 52 - 1) = "1", OFFSET($A$1, 293 - 1, 53 - 1) = "1" ), 1, IF( AND( OFFSET($A$1, 293 - 1, 52 - 1) = "1", OFFSET($A$1, 293 - 1, 53 - 1) = "0" ), 2, IF( AND( OFFSET($A$1, 293 - 1, 52 - 1) = "0", OFFSET($A$1, 293 - 1, 53 - 1) = "1" ), 3, 4 ) ) )</f>
        <v>3</v>
      </c>
      <c r="BD293" s="7">
        <v>1</v>
      </c>
      <c r="BE293" s="7" t="str">
        <f>"1"</f>
        <v>1</v>
      </c>
      <c r="BF293" t="str">
        <f ca="1">IF((OFFSET($A$1, 293 - 1, 56 - 1)) &gt;= (OFFSET($A$1, 101 - 1, 7 - 1)), "1","0")</f>
        <v>1</v>
      </c>
      <c r="BG293">
        <f ca="1" xml:space="preserve"> IF( AND( OFFSET($A$1, 293 - 1, 57 - 1) = "1", OFFSET($A$1, 293 - 1, 58 - 1) = "1" ), 1, IF( AND( OFFSET($A$1, 293 - 1, 57 - 1) = "1", OFFSET($A$1, 293 - 1, 58 - 1) = "0" ), 2, IF( AND( OFFSET($A$1, 293 - 1, 57 - 1) = "0", OFFSET($A$1, 293 - 1, 58 - 1) = "1" ), 3, 4 ) ) )</f>
        <v>1</v>
      </c>
    </row>
    <row r="294" spans="51:59" x14ac:dyDescent="0.25">
      <c r="AY294" s="7">
        <v>0.52941176470588236</v>
      </c>
      <c r="AZ294" s="7" t="str">
        <f>"1"</f>
        <v>1</v>
      </c>
      <c r="BA294" t="str">
        <f ca="1">IF((OFFSET($A$1, 294 - 1, 51 - 1)) &gt;= (OFFSET($A$1, 77 - 1, 7 - 1)), "1","0")</f>
        <v>1</v>
      </c>
      <c r="BB294">
        <f ca="1" xml:space="preserve"> IF( AND( OFFSET($A$1, 294 - 1, 52 - 1) = "1", OFFSET($A$1, 294 - 1, 53 - 1) = "1" ), 1, IF( AND( OFFSET($A$1, 294 - 1, 52 - 1) = "1", OFFSET($A$1, 294 - 1, 53 - 1) = "0" ), 2, IF( AND( OFFSET($A$1, 294 - 1, 52 - 1) = "0", OFFSET($A$1, 294 - 1, 53 - 1) = "1" ), 3, 4 ) ) )</f>
        <v>1</v>
      </c>
      <c r="BD294" s="7">
        <v>0</v>
      </c>
      <c r="BE294" s="7" t="str">
        <f>"0"</f>
        <v>0</v>
      </c>
      <c r="BF294" t="str">
        <f ca="1">IF((OFFSET($A$1, 294 - 1, 56 - 1)) &gt;= (OFFSET($A$1, 101 - 1, 7 - 1)), "1","0")</f>
        <v>0</v>
      </c>
      <c r="BG294">
        <f ca="1" xml:space="preserve"> IF( AND( OFFSET($A$1, 294 - 1, 57 - 1) = "1", OFFSET($A$1, 294 - 1, 58 - 1) = "1" ), 1, IF( AND( OFFSET($A$1, 294 - 1, 57 - 1) = "1", OFFSET($A$1, 294 - 1, 58 - 1) = "0" ), 2, IF( AND( OFFSET($A$1, 294 - 1, 57 - 1) = "0", OFFSET($A$1, 294 - 1, 58 - 1) = "1" ), 3, 4 ) ) )</f>
        <v>4</v>
      </c>
    </row>
    <row r="295" spans="51:59" x14ac:dyDescent="0.25">
      <c r="AY295" s="7">
        <v>0.47058823529411764</v>
      </c>
      <c r="AZ295" s="7" t="str">
        <f>"1"</f>
        <v>1</v>
      </c>
      <c r="BA295" t="str">
        <f ca="1">IF((OFFSET($A$1, 295 - 1, 51 - 1)) &gt;= (OFFSET($A$1, 77 - 1, 7 - 1)), "1","0")</f>
        <v>0</v>
      </c>
      <c r="BB295">
        <f ca="1" xml:space="preserve"> IF( AND( OFFSET($A$1, 295 - 1, 52 - 1) = "1", OFFSET($A$1, 295 - 1, 53 - 1) = "1" ), 1, IF( AND( OFFSET($A$1, 295 - 1, 52 - 1) = "1", OFFSET($A$1, 295 - 1, 53 - 1) = "0" ), 2, IF( AND( OFFSET($A$1, 295 - 1, 52 - 1) = "0", OFFSET($A$1, 295 - 1, 53 - 1) = "1" ), 3, 4 ) ) )</f>
        <v>2</v>
      </c>
      <c r="BD295" s="7">
        <v>0</v>
      </c>
      <c r="BE295" s="7" t="str">
        <f>"0"</f>
        <v>0</v>
      </c>
      <c r="BF295" t="str">
        <f ca="1">IF((OFFSET($A$1, 295 - 1, 56 - 1)) &gt;= (OFFSET($A$1, 101 - 1, 7 - 1)), "1","0")</f>
        <v>0</v>
      </c>
      <c r="BG295">
        <f ca="1" xml:space="preserve"> IF( AND( OFFSET($A$1, 295 - 1, 57 - 1) = "1", OFFSET($A$1, 295 - 1, 58 - 1) = "1" ), 1, IF( AND( OFFSET($A$1, 295 - 1, 57 - 1) = "1", OFFSET($A$1, 295 - 1, 58 - 1) = "0" ), 2, IF( AND( OFFSET($A$1, 295 - 1, 57 - 1) = "0", OFFSET($A$1, 295 - 1, 58 - 1) = "1" ), 3, 4 ) ) )</f>
        <v>4</v>
      </c>
    </row>
    <row r="296" spans="51:59" x14ac:dyDescent="0.25">
      <c r="AY296" s="7">
        <v>1</v>
      </c>
      <c r="AZ296" s="7" t="str">
        <f>"1"</f>
        <v>1</v>
      </c>
      <c r="BA296" t="str">
        <f ca="1">IF((OFFSET($A$1, 296 - 1, 51 - 1)) &gt;= (OFFSET($A$1, 77 - 1, 7 - 1)), "1","0")</f>
        <v>1</v>
      </c>
      <c r="BB296">
        <f ca="1" xml:space="preserve"> IF( AND( OFFSET($A$1, 296 - 1, 52 - 1) = "1", OFFSET($A$1, 296 - 1, 53 - 1) = "1" ), 1, IF( AND( OFFSET($A$1, 296 - 1, 52 - 1) = "1", OFFSET($A$1, 296 - 1, 53 - 1) = "0" ), 2, IF( AND( OFFSET($A$1, 296 - 1, 52 - 1) = "0", OFFSET($A$1, 296 - 1, 53 - 1) = "1" ), 3, 4 ) ) )</f>
        <v>1</v>
      </c>
      <c r="BD296" s="7">
        <v>0</v>
      </c>
      <c r="BE296" s="7" t="str">
        <f>"0"</f>
        <v>0</v>
      </c>
      <c r="BF296" t="str">
        <f ca="1">IF((OFFSET($A$1, 296 - 1, 56 - 1)) &gt;= (OFFSET($A$1, 101 - 1, 7 - 1)), "1","0")</f>
        <v>0</v>
      </c>
      <c r="BG296">
        <f ca="1" xml:space="preserve"> IF( AND( OFFSET($A$1, 296 - 1, 57 - 1) = "1", OFFSET($A$1, 296 - 1, 58 - 1) = "1" ), 1, IF( AND( OFFSET($A$1, 296 - 1, 57 - 1) = "1", OFFSET($A$1, 296 - 1, 58 - 1) = "0" ), 2, IF( AND( OFFSET($A$1, 296 - 1, 57 - 1) = "0", OFFSET($A$1, 296 - 1, 58 - 1) = "1" ), 3, 4 ) ) )</f>
        <v>4</v>
      </c>
    </row>
    <row r="297" spans="51:59" x14ac:dyDescent="0.25">
      <c r="AY297" s="7">
        <v>0.94117647058823528</v>
      </c>
      <c r="AZ297" s="7" t="str">
        <f>"1"</f>
        <v>1</v>
      </c>
      <c r="BA297" t="str">
        <f ca="1">IF((OFFSET($A$1, 297 - 1, 51 - 1)) &gt;= (OFFSET($A$1, 77 - 1, 7 - 1)), "1","0")</f>
        <v>1</v>
      </c>
      <c r="BB297">
        <f ca="1" xml:space="preserve"> IF( AND( OFFSET($A$1, 297 - 1, 52 - 1) = "1", OFFSET($A$1, 297 - 1, 53 - 1) = "1" ), 1, IF( AND( OFFSET($A$1, 297 - 1, 52 - 1) = "1", OFFSET($A$1, 297 - 1, 53 - 1) = "0" ), 2, IF( AND( OFFSET($A$1, 297 - 1, 52 - 1) = "0", OFFSET($A$1, 297 - 1, 53 - 1) = "1" ), 3, 4 ) ) )</f>
        <v>1</v>
      </c>
      <c r="BD297" s="7">
        <v>5.8823529411764705E-2</v>
      </c>
      <c r="BE297" s="7" t="str">
        <f>"0"</f>
        <v>0</v>
      </c>
      <c r="BF297" t="str">
        <f ca="1">IF((OFFSET($A$1, 297 - 1, 56 - 1)) &gt;= (OFFSET($A$1, 101 - 1, 7 - 1)), "1","0")</f>
        <v>0</v>
      </c>
      <c r="BG297">
        <f ca="1" xml:space="preserve"> IF( AND( OFFSET($A$1, 297 - 1, 57 - 1) = "1", OFFSET($A$1, 297 - 1, 58 - 1) = "1" ), 1, IF( AND( OFFSET($A$1, 297 - 1, 57 - 1) = "1", OFFSET($A$1, 297 - 1, 58 - 1) = "0" ), 2, IF( AND( OFFSET($A$1, 297 - 1, 57 - 1) = "0", OFFSET($A$1, 297 - 1, 58 - 1) = "1" ), 3, 4 ) ) )</f>
        <v>4</v>
      </c>
    </row>
    <row r="298" spans="51:59" x14ac:dyDescent="0.25">
      <c r="AY298" s="7">
        <v>0</v>
      </c>
      <c r="AZ298" s="7" t="str">
        <f>"0"</f>
        <v>0</v>
      </c>
      <c r="BA298" t="str">
        <f ca="1">IF((OFFSET($A$1, 298 - 1, 51 - 1)) &gt;= (OFFSET($A$1, 77 - 1, 7 - 1)), "1","0")</f>
        <v>0</v>
      </c>
      <c r="BB298">
        <f ca="1" xml:space="preserve"> IF( AND( OFFSET($A$1, 298 - 1, 52 - 1) = "1", OFFSET($A$1, 298 - 1, 53 - 1) = "1" ), 1, IF( AND( OFFSET($A$1, 298 - 1, 52 - 1) = "1", OFFSET($A$1, 298 - 1, 53 - 1) = "0" ), 2, IF( AND( OFFSET($A$1, 298 - 1, 52 - 1) = "0", OFFSET($A$1, 298 - 1, 53 - 1) = "1" ), 3, 4 ) ) )</f>
        <v>4</v>
      </c>
      <c r="BD298" s="7">
        <v>0.41176470588235292</v>
      </c>
      <c r="BE298" s="7" t="str">
        <f>"0"</f>
        <v>0</v>
      </c>
      <c r="BF298" t="str">
        <f ca="1">IF((OFFSET($A$1, 298 - 1, 56 - 1)) &gt;= (OFFSET($A$1, 101 - 1, 7 - 1)), "1","0")</f>
        <v>0</v>
      </c>
      <c r="BG298">
        <f ca="1" xml:space="preserve"> IF( AND( OFFSET($A$1, 298 - 1, 57 - 1) = "1", OFFSET($A$1, 298 - 1, 58 - 1) = "1" ), 1, IF( AND( OFFSET($A$1, 298 - 1, 57 - 1) = "1", OFFSET($A$1, 298 - 1, 58 - 1) = "0" ), 2, IF( AND( OFFSET($A$1, 298 - 1, 57 - 1) = "0", OFFSET($A$1, 298 - 1, 58 - 1) = "1" ), 3, 4 ) ) )</f>
        <v>4</v>
      </c>
    </row>
    <row r="299" spans="51:59" x14ac:dyDescent="0.25">
      <c r="AY299" s="7">
        <v>0</v>
      </c>
      <c r="AZ299" s="7" t="str">
        <f>"0"</f>
        <v>0</v>
      </c>
      <c r="BA299" t="str">
        <f ca="1">IF((OFFSET($A$1, 299 - 1, 51 - 1)) &gt;= (OFFSET($A$1, 77 - 1, 7 - 1)), "1","0")</f>
        <v>0</v>
      </c>
      <c r="BB299">
        <f ca="1" xml:space="preserve"> IF( AND( OFFSET($A$1, 299 - 1, 52 - 1) = "1", OFFSET($A$1, 299 - 1, 53 - 1) = "1" ), 1, IF( AND( OFFSET($A$1, 299 - 1, 52 - 1) = "1", OFFSET($A$1, 299 - 1, 53 - 1) = "0" ), 2, IF( AND( OFFSET($A$1, 299 - 1, 52 - 1) = "0", OFFSET($A$1, 299 - 1, 53 - 1) = "1" ), 3, 4 ) ) )</f>
        <v>4</v>
      </c>
      <c r="BD299" s="7">
        <v>0.76470588235294112</v>
      </c>
      <c r="BE299" s="7" t="str">
        <f>"1"</f>
        <v>1</v>
      </c>
      <c r="BF299" t="str">
        <f ca="1">IF((OFFSET($A$1, 299 - 1, 56 - 1)) &gt;= (OFFSET($A$1, 101 - 1, 7 - 1)), "1","0")</f>
        <v>1</v>
      </c>
      <c r="BG299">
        <f ca="1" xml:space="preserve"> IF( AND( OFFSET($A$1, 299 - 1, 57 - 1) = "1", OFFSET($A$1, 299 - 1, 58 - 1) = "1" ), 1, IF( AND( OFFSET($A$1, 299 - 1, 57 - 1) = "1", OFFSET($A$1, 299 - 1, 58 - 1) = "0" ), 2, IF( AND( OFFSET($A$1, 299 - 1, 57 - 1) = "0", OFFSET($A$1, 299 - 1, 58 - 1) = "1" ), 3, 4 ) ) )</f>
        <v>1</v>
      </c>
    </row>
    <row r="300" spans="51:59" x14ac:dyDescent="0.25">
      <c r="AY300" s="7">
        <v>0.76470588235294112</v>
      </c>
      <c r="AZ300" s="7" t="str">
        <f>"1"</f>
        <v>1</v>
      </c>
      <c r="BA300" t="str">
        <f ca="1">IF((OFFSET($A$1, 300 - 1, 51 - 1)) &gt;= (OFFSET($A$1, 77 - 1, 7 - 1)), "1","0")</f>
        <v>1</v>
      </c>
      <c r="BB300">
        <f ca="1" xml:space="preserve"> IF( AND( OFFSET($A$1, 300 - 1, 52 - 1) = "1", OFFSET($A$1, 300 - 1, 53 - 1) = "1" ), 1, IF( AND( OFFSET($A$1, 300 - 1, 52 - 1) = "1", OFFSET($A$1, 300 - 1, 53 - 1) = "0" ), 2, IF( AND( OFFSET($A$1, 300 - 1, 52 - 1) = "0", OFFSET($A$1, 300 - 1, 53 - 1) = "1" ), 3, 4 ) ) )</f>
        <v>1</v>
      </c>
      <c r="BD300" s="7">
        <v>0</v>
      </c>
      <c r="BE300" s="7" t="str">
        <f>"0"</f>
        <v>0</v>
      </c>
      <c r="BF300" t="str">
        <f ca="1">IF((OFFSET($A$1, 300 - 1, 56 - 1)) &gt;= (OFFSET($A$1, 101 - 1, 7 - 1)), "1","0")</f>
        <v>0</v>
      </c>
      <c r="BG300">
        <f ca="1" xml:space="preserve"> IF( AND( OFFSET($A$1, 300 - 1, 57 - 1) = "1", OFFSET($A$1, 300 - 1, 58 - 1) = "1" ), 1, IF( AND( OFFSET($A$1, 300 - 1, 57 - 1) = "1", OFFSET($A$1, 300 - 1, 58 - 1) = "0" ), 2, IF( AND( OFFSET($A$1, 300 - 1, 57 - 1) = "0", OFFSET($A$1, 300 - 1, 58 - 1) = "1" ), 3, 4 ) ) )</f>
        <v>4</v>
      </c>
    </row>
    <row r="301" spans="51:59" x14ac:dyDescent="0.25">
      <c r="AY301" s="7">
        <v>0</v>
      </c>
      <c r="AZ301" s="7" t="str">
        <f>"0"</f>
        <v>0</v>
      </c>
      <c r="BA301" t="str">
        <f ca="1">IF((OFFSET($A$1, 301 - 1, 51 - 1)) &gt;= (OFFSET($A$1, 77 - 1, 7 - 1)), "1","0")</f>
        <v>0</v>
      </c>
      <c r="BB301">
        <f ca="1" xml:space="preserve"> IF( AND( OFFSET($A$1, 301 - 1, 52 - 1) = "1", OFFSET($A$1, 301 - 1, 53 - 1) = "1" ), 1, IF( AND( OFFSET($A$1, 301 - 1, 52 - 1) = "1", OFFSET($A$1, 301 - 1, 53 - 1) = "0" ), 2, IF( AND( OFFSET($A$1, 301 - 1, 52 - 1) = "0", OFFSET($A$1, 301 - 1, 53 - 1) = "1" ), 3, 4 ) ) )</f>
        <v>4</v>
      </c>
      <c r="BD301" s="7">
        <v>0.29411764705882354</v>
      </c>
      <c r="BE301" s="7" t="str">
        <f>"0"</f>
        <v>0</v>
      </c>
      <c r="BF301" t="str">
        <f ca="1">IF((OFFSET($A$1, 301 - 1, 56 - 1)) &gt;= (OFFSET($A$1, 101 - 1, 7 - 1)), "1","0")</f>
        <v>0</v>
      </c>
      <c r="BG301">
        <f ca="1" xml:space="preserve"> IF( AND( OFFSET($A$1, 301 - 1, 57 - 1) = "1", OFFSET($A$1, 301 - 1, 58 - 1) = "1" ), 1, IF( AND( OFFSET($A$1, 301 - 1, 57 - 1) = "1", OFFSET($A$1, 301 - 1, 58 - 1) = "0" ), 2, IF( AND( OFFSET($A$1, 301 - 1, 57 - 1) = "0", OFFSET($A$1, 301 - 1, 58 - 1) = "1" ), 3, 4 ) ) )</f>
        <v>4</v>
      </c>
    </row>
    <row r="302" spans="51:59" x14ac:dyDescent="0.25">
      <c r="AY302" s="7">
        <v>0.52941176470588236</v>
      </c>
      <c r="AZ302" s="7" t="str">
        <f>"0"</f>
        <v>0</v>
      </c>
      <c r="BA302" t="str">
        <f ca="1">IF((OFFSET($A$1, 302 - 1, 51 - 1)) &gt;= (OFFSET($A$1, 77 - 1, 7 - 1)), "1","0")</f>
        <v>1</v>
      </c>
      <c r="BB302">
        <f ca="1" xml:space="preserve"> IF( AND( OFFSET($A$1, 302 - 1, 52 - 1) = "1", OFFSET($A$1, 302 - 1, 53 - 1) = "1" ), 1, IF( AND( OFFSET($A$1, 302 - 1, 52 - 1) = "1", OFFSET($A$1, 302 - 1, 53 - 1) = "0" ), 2, IF( AND( OFFSET($A$1, 302 - 1, 52 - 1) = "0", OFFSET($A$1, 302 - 1, 53 - 1) = "1" ), 3, 4 ) ) )</f>
        <v>3</v>
      </c>
      <c r="BD302" s="7">
        <v>0.82352941176470584</v>
      </c>
      <c r="BE302" s="7" t="str">
        <f>"1"</f>
        <v>1</v>
      </c>
      <c r="BF302" t="str">
        <f ca="1">IF((OFFSET($A$1, 302 - 1, 56 - 1)) &gt;= (OFFSET($A$1, 101 - 1, 7 - 1)), "1","0")</f>
        <v>1</v>
      </c>
      <c r="BG302">
        <f ca="1" xml:space="preserve"> IF( AND( OFFSET($A$1, 302 - 1, 57 - 1) = "1", OFFSET($A$1, 302 - 1, 58 - 1) = "1" ), 1, IF( AND( OFFSET($A$1, 302 - 1, 57 - 1) = "1", OFFSET($A$1, 302 - 1, 58 - 1) = "0" ), 2, IF( AND( OFFSET($A$1, 302 - 1, 57 - 1) = "0", OFFSET($A$1, 302 - 1, 58 - 1) = "1" ), 3, 4 ) ) )</f>
        <v>1</v>
      </c>
    </row>
    <row r="303" spans="51:59" x14ac:dyDescent="0.25">
      <c r="AY303" s="7">
        <v>0</v>
      </c>
      <c r="AZ303" s="7" t="str">
        <f>"0"</f>
        <v>0</v>
      </c>
      <c r="BA303" t="str">
        <f ca="1">IF((OFFSET($A$1, 303 - 1, 51 - 1)) &gt;= (OFFSET($A$1, 77 - 1, 7 - 1)), "1","0")</f>
        <v>0</v>
      </c>
      <c r="BB303">
        <f ca="1" xml:space="preserve"> IF( AND( OFFSET($A$1, 303 - 1, 52 - 1) = "1", OFFSET($A$1, 303 - 1, 53 - 1) = "1" ), 1, IF( AND( OFFSET($A$1, 303 - 1, 52 - 1) = "1", OFFSET($A$1, 303 - 1, 53 - 1) = "0" ), 2, IF( AND( OFFSET($A$1, 303 - 1, 52 - 1) = "0", OFFSET($A$1, 303 - 1, 53 - 1) = "1" ), 3, 4 ) ) )</f>
        <v>4</v>
      </c>
      <c r="BD303" s="7">
        <v>0.41176470588235292</v>
      </c>
      <c r="BE303" s="7" t="str">
        <f>"0"</f>
        <v>0</v>
      </c>
      <c r="BF303" t="str">
        <f ca="1">IF((OFFSET($A$1, 303 - 1, 56 - 1)) &gt;= (OFFSET($A$1, 101 - 1, 7 - 1)), "1","0")</f>
        <v>0</v>
      </c>
      <c r="BG303">
        <f ca="1" xml:space="preserve"> IF( AND( OFFSET($A$1, 303 - 1, 57 - 1) = "1", OFFSET($A$1, 303 - 1, 58 - 1) = "1" ), 1, IF( AND( OFFSET($A$1, 303 - 1, 57 - 1) = "1", OFFSET($A$1, 303 - 1, 58 - 1) = "0" ), 2, IF( AND( OFFSET($A$1, 303 - 1, 57 - 1) = "0", OFFSET($A$1, 303 - 1, 58 - 1) = "1" ), 3, 4 ) ) )</f>
        <v>4</v>
      </c>
    </row>
    <row r="304" spans="51:59" x14ac:dyDescent="0.25">
      <c r="AY304" s="7">
        <v>0.94117647058823528</v>
      </c>
      <c r="AZ304" s="7" t="str">
        <f>"1"</f>
        <v>1</v>
      </c>
      <c r="BA304" t="str">
        <f ca="1">IF((OFFSET($A$1, 304 - 1, 51 - 1)) &gt;= (OFFSET($A$1, 77 - 1, 7 - 1)), "1","0")</f>
        <v>1</v>
      </c>
      <c r="BB304">
        <f ca="1" xml:space="preserve"> IF( AND( OFFSET($A$1, 304 - 1, 52 - 1) = "1", OFFSET($A$1, 304 - 1, 53 - 1) = "1" ), 1, IF( AND( OFFSET($A$1, 304 - 1, 52 - 1) = "1", OFFSET($A$1, 304 - 1, 53 - 1) = "0" ), 2, IF( AND( OFFSET($A$1, 304 - 1, 52 - 1) = "0", OFFSET($A$1, 304 - 1, 53 - 1) = "1" ), 3, 4 ) ) )</f>
        <v>1</v>
      </c>
      <c r="BD304" s="7">
        <v>0</v>
      </c>
      <c r="BE304" s="7" t="str">
        <f>"0"</f>
        <v>0</v>
      </c>
      <c r="BF304" t="str">
        <f ca="1">IF((OFFSET($A$1, 304 - 1, 56 - 1)) &gt;= (OFFSET($A$1, 101 - 1, 7 - 1)), "1","0")</f>
        <v>0</v>
      </c>
      <c r="BG304">
        <f ca="1" xml:space="preserve"> IF( AND( OFFSET($A$1, 304 - 1, 57 - 1) = "1", OFFSET($A$1, 304 - 1, 58 - 1) = "1" ), 1, IF( AND( OFFSET($A$1, 304 - 1, 57 - 1) = "1", OFFSET($A$1, 304 - 1, 58 - 1) = "0" ), 2, IF( AND( OFFSET($A$1, 304 - 1, 57 - 1) = "0", OFFSET($A$1, 304 - 1, 58 - 1) = "1" ), 3, 4 ) ) )</f>
        <v>4</v>
      </c>
    </row>
    <row r="305" spans="51:59" x14ac:dyDescent="0.25">
      <c r="AY305" s="7">
        <v>0.94117647058823528</v>
      </c>
      <c r="AZ305" s="7" t="str">
        <f>"1"</f>
        <v>1</v>
      </c>
      <c r="BA305" t="str">
        <f ca="1">IF((OFFSET($A$1, 305 - 1, 51 - 1)) &gt;= (OFFSET($A$1, 77 - 1, 7 - 1)), "1","0")</f>
        <v>1</v>
      </c>
      <c r="BB305">
        <f ca="1" xml:space="preserve"> IF( AND( OFFSET($A$1, 305 - 1, 52 - 1) = "1", OFFSET($A$1, 305 - 1, 53 - 1) = "1" ), 1, IF( AND( OFFSET($A$1, 305 - 1, 52 - 1) = "1", OFFSET($A$1, 305 - 1, 53 - 1) = "0" ), 2, IF( AND( OFFSET($A$1, 305 - 1, 52 - 1) = "0", OFFSET($A$1, 305 - 1, 53 - 1) = "1" ), 3, 4 ) ) )</f>
        <v>1</v>
      </c>
      <c r="BD305" s="7">
        <v>0</v>
      </c>
      <c r="BE305" s="7" t="str">
        <f>"0"</f>
        <v>0</v>
      </c>
      <c r="BF305" t="str">
        <f ca="1">IF((OFFSET($A$1, 305 - 1, 56 - 1)) &gt;= (OFFSET($A$1, 101 - 1, 7 - 1)), "1","0")</f>
        <v>0</v>
      </c>
      <c r="BG305">
        <f ca="1" xml:space="preserve"> IF( AND( OFFSET($A$1, 305 - 1, 57 - 1) = "1", OFFSET($A$1, 305 - 1, 58 - 1) = "1" ), 1, IF( AND( OFFSET($A$1, 305 - 1, 57 - 1) = "1", OFFSET($A$1, 305 - 1, 58 - 1) = "0" ), 2, IF( AND( OFFSET($A$1, 305 - 1, 57 - 1) = "0", OFFSET($A$1, 305 - 1, 58 - 1) = "1" ), 3, 4 ) ) )</f>
        <v>4</v>
      </c>
    </row>
    <row r="306" spans="51:59" x14ac:dyDescent="0.25">
      <c r="AY306" s="7">
        <v>0.82352941176470584</v>
      </c>
      <c r="AZ306" s="7" t="str">
        <f>"1"</f>
        <v>1</v>
      </c>
      <c r="BA306" t="str">
        <f ca="1">IF((OFFSET($A$1, 306 - 1, 51 - 1)) &gt;= (OFFSET($A$1, 77 - 1, 7 - 1)), "1","0")</f>
        <v>1</v>
      </c>
      <c r="BB306">
        <f ca="1" xml:space="preserve"> IF( AND( OFFSET($A$1, 306 - 1, 52 - 1) = "1", OFFSET($A$1, 306 - 1, 53 - 1) = "1" ), 1, IF( AND( OFFSET($A$1, 306 - 1, 52 - 1) = "1", OFFSET($A$1, 306 - 1, 53 - 1) = "0" ), 2, IF( AND( OFFSET($A$1, 306 - 1, 52 - 1) = "0", OFFSET($A$1, 306 - 1, 53 - 1) = "1" ), 3, 4 ) ) )</f>
        <v>1</v>
      </c>
      <c r="BD306" s="7">
        <v>0.11764705882352941</v>
      </c>
      <c r="BE306" s="7" t="str">
        <f>"0"</f>
        <v>0</v>
      </c>
      <c r="BF306" t="str">
        <f ca="1">IF((OFFSET($A$1, 306 - 1, 56 - 1)) &gt;= (OFFSET($A$1, 101 - 1, 7 - 1)), "1","0")</f>
        <v>0</v>
      </c>
      <c r="BG306">
        <f ca="1" xml:space="preserve"> IF( AND( OFFSET($A$1, 306 - 1, 57 - 1) = "1", OFFSET($A$1, 306 - 1, 58 - 1) = "1" ), 1, IF( AND( OFFSET($A$1, 306 - 1, 57 - 1) = "1", OFFSET($A$1, 306 - 1, 58 - 1) = "0" ), 2, IF( AND( OFFSET($A$1, 306 - 1, 57 - 1) = "0", OFFSET($A$1, 306 - 1, 58 - 1) = "1" ), 3, 4 ) ) )</f>
        <v>4</v>
      </c>
    </row>
    <row r="307" spans="51:59" x14ac:dyDescent="0.25">
      <c r="AY307" s="7">
        <v>0</v>
      </c>
      <c r="AZ307" s="7" t="str">
        <f>"0"</f>
        <v>0</v>
      </c>
      <c r="BA307" t="str">
        <f ca="1">IF((OFFSET($A$1, 307 - 1, 51 - 1)) &gt;= (OFFSET($A$1, 77 - 1, 7 - 1)), "1","0")</f>
        <v>0</v>
      </c>
      <c r="BB307">
        <f ca="1" xml:space="preserve"> IF( AND( OFFSET($A$1, 307 - 1, 52 - 1) = "1", OFFSET($A$1, 307 - 1, 53 - 1) = "1" ), 1, IF( AND( OFFSET($A$1, 307 - 1, 52 - 1) = "1", OFFSET($A$1, 307 - 1, 53 - 1) = "0" ), 2, IF( AND( OFFSET($A$1, 307 - 1, 52 - 1) = "0", OFFSET($A$1, 307 - 1, 53 - 1) = "1" ), 3, 4 ) ) )</f>
        <v>4</v>
      </c>
      <c r="BD307" s="7">
        <v>0</v>
      </c>
      <c r="BE307" s="7" t="str">
        <f>"0"</f>
        <v>0</v>
      </c>
      <c r="BF307" t="str">
        <f ca="1">IF((OFFSET($A$1, 307 - 1, 56 - 1)) &gt;= (OFFSET($A$1, 101 - 1, 7 - 1)), "1","0")</f>
        <v>0</v>
      </c>
      <c r="BG307">
        <f ca="1" xml:space="preserve"> IF( AND( OFFSET($A$1, 307 - 1, 57 - 1) = "1", OFFSET($A$1, 307 - 1, 58 - 1) = "1" ), 1, IF( AND( OFFSET($A$1, 307 - 1, 57 - 1) = "1", OFFSET($A$1, 307 - 1, 58 - 1) = "0" ), 2, IF( AND( OFFSET($A$1, 307 - 1, 57 - 1) = "0", OFFSET($A$1, 307 - 1, 58 - 1) = "1" ), 3, 4 ) ) )</f>
        <v>4</v>
      </c>
    </row>
    <row r="308" spans="51:59" x14ac:dyDescent="0.25">
      <c r="AY308" s="7">
        <v>0</v>
      </c>
      <c r="AZ308" s="7" t="str">
        <f>"0"</f>
        <v>0</v>
      </c>
      <c r="BA308" t="str">
        <f ca="1">IF((OFFSET($A$1, 308 - 1, 51 - 1)) &gt;= (OFFSET($A$1, 77 - 1, 7 - 1)), "1","0")</f>
        <v>0</v>
      </c>
      <c r="BB308">
        <f ca="1" xml:space="preserve"> IF( AND( OFFSET($A$1, 308 - 1, 52 - 1) = "1", OFFSET($A$1, 308 - 1, 53 - 1) = "1" ), 1, IF( AND( OFFSET($A$1, 308 - 1, 52 - 1) = "1", OFFSET($A$1, 308 - 1, 53 - 1) = "0" ), 2, IF( AND( OFFSET($A$1, 308 - 1, 52 - 1) = "0", OFFSET($A$1, 308 - 1, 53 - 1) = "1" ), 3, 4 ) ) )</f>
        <v>4</v>
      </c>
      <c r="BD308" s="7">
        <v>0</v>
      </c>
      <c r="BE308" s="7" t="str">
        <f>"0"</f>
        <v>0</v>
      </c>
      <c r="BF308" t="str">
        <f ca="1">IF((OFFSET($A$1, 308 - 1, 56 - 1)) &gt;= (OFFSET($A$1, 101 - 1, 7 - 1)), "1","0")</f>
        <v>0</v>
      </c>
      <c r="BG308">
        <f ca="1" xml:space="preserve"> IF( AND( OFFSET($A$1, 308 - 1, 57 - 1) = "1", OFFSET($A$1, 308 - 1, 58 - 1) = "1" ), 1, IF( AND( OFFSET($A$1, 308 - 1, 57 - 1) = "1", OFFSET($A$1, 308 - 1, 58 - 1) = "0" ), 2, IF( AND( OFFSET($A$1, 308 - 1, 57 - 1) = "0", OFFSET($A$1, 308 - 1, 58 - 1) = "1" ), 3, 4 ) ) )</f>
        <v>4</v>
      </c>
    </row>
    <row r="309" spans="51:59" x14ac:dyDescent="0.25">
      <c r="AY309" s="7">
        <v>0.23529411764705882</v>
      </c>
      <c r="AZ309" s="7" t="str">
        <f>"0"</f>
        <v>0</v>
      </c>
      <c r="BA309" t="str">
        <f ca="1">IF((OFFSET($A$1, 309 - 1, 51 - 1)) &gt;= (OFFSET($A$1, 77 - 1, 7 - 1)), "1","0")</f>
        <v>0</v>
      </c>
      <c r="BB309">
        <f ca="1" xml:space="preserve"> IF( AND( OFFSET($A$1, 309 - 1, 52 - 1) = "1", OFFSET($A$1, 309 - 1, 53 - 1) = "1" ), 1, IF( AND( OFFSET($A$1, 309 - 1, 52 - 1) = "1", OFFSET($A$1, 309 - 1, 53 - 1) = "0" ), 2, IF( AND( OFFSET($A$1, 309 - 1, 52 - 1) = "0", OFFSET($A$1, 309 - 1, 53 - 1) = "1" ), 3, 4 ) ) )</f>
        <v>4</v>
      </c>
      <c r="BD309" s="7">
        <v>0</v>
      </c>
      <c r="BE309" s="7" t="str">
        <f>"0"</f>
        <v>0</v>
      </c>
      <c r="BF309" t="str">
        <f ca="1">IF((OFFSET($A$1, 309 - 1, 56 - 1)) &gt;= (OFFSET($A$1, 101 - 1, 7 - 1)), "1","0")</f>
        <v>0</v>
      </c>
      <c r="BG309">
        <f ca="1" xml:space="preserve"> IF( AND( OFFSET($A$1, 309 - 1, 57 - 1) = "1", OFFSET($A$1, 309 - 1, 58 - 1) = "1" ), 1, IF( AND( OFFSET($A$1, 309 - 1, 57 - 1) = "1", OFFSET($A$1, 309 - 1, 58 - 1) = "0" ), 2, IF( AND( OFFSET($A$1, 309 - 1, 57 - 1) = "0", OFFSET($A$1, 309 - 1, 58 - 1) = "1" ), 3, 4 ) ) )</f>
        <v>4</v>
      </c>
    </row>
    <row r="310" spans="51:59" x14ac:dyDescent="0.25">
      <c r="AY310" s="7">
        <v>0</v>
      </c>
      <c r="AZ310" s="7" t="str">
        <f>"0"</f>
        <v>0</v>
      </c>
      <c r="BA310" t="str">
        <f ca="1">IF((OFFSET($A$1, 310 - 1, 51 - 1)) &gt;= (OFFSET($A$1, 77 - 1, 7 - 1)), "1","0")</f>
        <v>0</v>
      </c>
      <c r="BB310">
        <f ca="1" xml:space="preserve"> IF( AND( OFFSET($A$1, 310 - 1, 52 - 1) = "1", OFFSET($A$1, 310 - 1, 53 - 1) = "1" ), 1, IF( AND( OFFSET($A$1, 310 - 1, 52 - 1) = "1", OFFSET($A$1, 310 - 1, 53 - 1) = "0" ), 2, IF( AND( OFFSET($A$1, 310 - 1, 52 - 1) = "0", OFFSET($A$1, 310 - 1, 53 - 1) = "1" ), 3, 4 ) ) )</f>
        <v>4</v>
      </c>
      <c r="BD310" s="7">
        <v>0</v>
      </c>
      <c r="BE310" s="7" t="str">
        <f>"0"</f>
        <v>0</v>
      </c>
      <c r="BF310" t="str">
        <f ca="1">IF((OFFSET($A$1, 310 - 1, 56 - 1)) &gt;= (OFFSET($A$1, 101 - 1, 7 - 1)), "1","0")</f>
        <v>0</v>
      </c>
      <c r="BG310">
        <f ca="1" xml:space="preserve"> IF( AND( OFFSET($A$1, 310 - 1, 57 - 1) = "1", OFFSET($A$1, 310 - 1, 58 - 1) = "1" ), 1, IF( AND( OFFSET($A$1, 310 - 1, 57 - 1) = "1", OFFSET($A$1, 310 - 1, 58 - 1) = "0" ), 2, IF( AND( OFFSET($A$1, 310 - 1, 57 - 1) = "0", OFFSET($A$1, 310 - 1, 58 - 1) = "1" ), 3, 4 ) ) )</f>
        <v>4</v>
      </c>
    </row>
    <row r="311" spans="51:59" x14ac:dyDescent="0.25">
      <c r="AY311" s="7">
        <v>5.8823529411764705E-2</v>
      </c>
      <c r="AZ311" s="7" t="str">
        <f>"0"</f>
        <v>0</v>
      </c>
      <c r="BA311" t="str">
        <f ca="1">IF((OFFSET($A$1, 311 - 1, 51 - 1)) &gt;= (OFFSET($A$1, 77 - 1, 7 - 1)), "1","0")</f>
        <v>0</v>
      </c>
      <c r="BB311">
        <f ca="1" xml:space="preserve"> IF( AND( OFFSET($A$1, 311 - 1, 52 - 1) = "1", OFFSET($A$1, 311 - 1, 53 - 1) = "1" ), 1, IF( AND( OFFSET($A$1, 311 - 1, 52 - 1) = "1", OFFSET($A$1, 311 - 1, 53 - 1) = "0" ), 2, IF( AND( OFFSET($A$1, 311 - 1, 52 - 1) = "0", OFFSET($A$1, 311 - 1, 53 - 1) = "1" ), 3, 4 ) ) )</f>
        <v>4</v>
      </c>
      <c r="BD311" s="7">
        <v>0.88235294117647056</v>
      </c>
      <c r="BE311" s="7" t="str">
        <f>"1"</f>
        <v>1</v>
      </c>
      <c r="BF311" t="str">
        <f ca="1">IF((OFFSET($A$1, 311 - 1, 56 - 1)) &gt;= (OFFSET($A$1, 101 - 1, 7 - 1)), "1","0")</f>
        <v>1</v>
      </c>
      <c r="BG311">
        <f ca="1" xml:space="preserve"> IF( AND( OFFSET($A$1, 311 - 1, 57 - 1) = "1", OFFSET($A$1, 311 - 1, 58 - 1) = "1" ), 1, IF( AND( OFFSET($A$1, 311 - 1, 57 - 1) = "1", OFFSET($A$1, 311 - 1, 58 - 1) = "0" ), 2, IF( AND( OFFSET($A$1, 311 - 1, 57 - 1) = "0", OFFSET($A$1, 311 - 1, 58 - 1) = "1" ), 3, 4 ) ) )</f>
        <v>1</v>
      </c>
    </row>
    <row r="312" spans="51:59" x14ac:dyDescent="0.25">
      <c r="AY312" s="7">
        <v>0.47058823529411764</v>
      </c>
      <c r="AZ312" s="7" t="str">
        <f>"0"</f>
        <v>0</v>
      </c>
      <c r="BA312" t="str">
        <f ca="1">IF((OFFSET($A$1, 312 - 1, 51 - 1)) &gt;= (OFFSET($A$1, 77 - 1, 7 - 1)), "1","0")</f>
        <v>0</v>
      </c>
      <c r="BB312">
        <f ca="1" xml:space="preserve"> IF( AND( OFFSET($A$1, 312 - 1, 52 - 1) = "1", OFFSET($A$1, 312 - 1, 53 - 1) = "1" ), 1, IF( AND( OFFSET($A$1, 312 - 1, 52 - 1) = "1", OFFSET($A$1, 312 - 1, 53 - 1) = "0" ), 2, IF( AND( OFFSET($A$1, 312 - 1, 52 - 1) = "0", OFFSET($A$1, 312 - 1, 53 - 1) = "1" ), 3, 4 ) ) )</f>
        <v>4</v>
      </c>
      <c r="BD312" s="7">
        <v>0</v>
      </c>
      <c r="BE312" s="7" t="str">
        <f>"0"</f>
        <v>0</v>
      </c>
      <c r="BF312" t="str">
        <f ca="1">IF((OFFSET($A$1, 312 - 1, 56 - 1)) &gt;= (OFFSET($A$1, 101 - 1, 7 - 1)), "1","0")</f>
        <v>0</v>
      </c>
      <c r="BG312">
        <f ca="1" xml:space="preserve"> IF( AND( OFFSET($A$1, 312 - 1, 57 - 1) = "1", OFFSET($A$1, 312 - 1, 58 - 1) = "1" ), 1, IF( AND( OFFSET($A$1, 312 - 1, 57 - 1) = "1", OFFSET($A$1, 312 - 1, 58 - 1) = "0" ), 2, IF( AND( OFFSET($A$1, 312 - 1, 57 - 1) = "0", OFFSET($A$1, 312 - 1, 58 - 1) = "1" ), 3, 4 ) ) )</f>
        <v>4</v>
      </c>
    </row>
    <row r="313" spans="51:59" x14ac:dyDescent="0.25">
      <c r="AY313" s="7">
        <v>0</v>
      </c>
      <c r="AZ313" s="7" t="str">
        <f>"0"</f>
        <v>0</v>
      </c>
      <c r="BA313" t="str">
        <f ca="1">IF((OFFSET($A$1, 313 - 1, 51 - 1)) &gt;= (OFFSET($A$1, 77 - 1, 7 - 1)), "1","0")</f>
        <v>0</v>
      </c>
      <c r="BB313">
        <f ca="1" xml:space="preserve"> IF( AND( OFFSET($A$1, 313 - 1, 52 - 1) = "1", OFFSET($A$1, 313 - 1, 53 - 1) = "1" ), 1, IF( AND( OFFSET($A$1, 313 - 1, 52 - 1) = "1", OFFSET($A$1, 313 - 1, 53 - 1) = "0" ), 2, IF( AND( OFFSET($A$1, 313 - 1, 52 - 1) = "0", OFFSET($A$1, 313 - 1, 53 - 1) = "1" ), 3, 4 ) ) )</f>
        <v>4</v>
      </c>
      <c r="BD313" s="7">
        <v>0.6470588235294118</v>
      </c>
      <c r="BE313" s="7" t="str">
        <f>"0"</f>
        <v>0</v>
      </c>
      <c r="BF313" t="str">
        <f ca="1">IF((OFFSET($A$1, 313 - 1, 56 - 1)) &gt;= (OFFSET($A$1, 101 - 1, 7 - 1)), "1","0")</f>
        <v>1</v>
      </c>
      <c r="BG313">
        <f ca="1" xml:space="preserve"> IF( AND( OFFSET($A$1, 313 - 1, 57 - 1) = "1", OFFSET($A$1, 313 - 1, 58 - 1) = "1" ), 1, IF( AND( OFFSET($A$1, 313 - 1, 57 - 1) = "1", OFFSET($A$1, 313 - 1, 58 - 1) = "0" ), 2, IF( AND( OFFSET($A$1, 313 - 1, 57 - 1) = "0", OFFSET($A$1, 313 - 1, 58 - 1) = "1" ), 3, 4 ) ) )</f>
        <v>3</v>
      </c>
    </row>
    <row r="314" spans="51:59" x14ac:dyDescent="0.25">
      <c r="AY314" s="7">
        <v>0</v>
      </c>
      <c r="AZ314" s="7" t="str">
        <f>"0"</f>
        <v>0</v>
      </c>
      <c r="BA314" t="str">
        <f ca="1">IF((OFFSET($A$1, 314 - 1, 51 - 1)) &gt;= (OFFSET($A$1, 77 - 1, 7 - 1)), "1","0")</f>
        <v>0</v>
      </c>
      <c r="BB314">
        <f ca="1" xml:space="preserve"> IF( AND( OFFSET($A$1, 314 - 1, 52 - 1) = "1", OFFSET($A$1, 314 - 1, 53 - 1) = "1" ), 1, IF( AND( OFFSET($A$1, 314 - 1, 52 - 1) = "1", OFFSET($A$1, 314 - 1, 53 - 1) = "0" ), 2, IF( AND( OFFSET($A$1, 314 - 1, 52 - 1) = "0", OFFSET($A$1, 314 - 1, 53 - 1) = "1" ), 3, 4 ) ) )</f>
        <v>4</v>
      </c>
      <c r="BD314" s="7">
        <v>1</v>
      </c>
      <c r="BE314" s="7" t="str">
        <f>"1"</f>
        <v>1</v>
      </c>
      <c r="BF314" t="str">
        <f ca="1">IF((OFFSET($A$1, 314 - 1, 56 - 1)) &gt;= (OFFSET($A$1, 101 - 1, 7 - 1)), "1","0")</f>
        <v>1</v>
      </c>
      <c r="BG314">
        <f ca="1" xml:space="preserve"> IF( AND( OFFSET($A$1, 314 - 1, 57 - 1) = "1", OFFSET($A$1, 314 - 1, 58 - 1) = "1" ), 1, IF( AND( OFFSET($A$1, 314 - 1, 57 - 1) = "1", OFFSET($A$1, 314 - 1, 58 - 1) = "0" ), 2, IF( AND( OFFSET($A$1, 314 - 1, 57 - 1) = "0", OFFSET($A$1, 314 - 1, 58 - 1) = "1" ), 3, 4 ) ) )</f>
        <v>1</v>
      </c>
    </row>
    <row r="315" spans="51:59" x14ac:dyDescent="0.25">
      <c r="AY315" s="7">
        <v>0.29411764705882354</v>
      </c>
      <c r="AZ315" s="7" t="str">
        <f>"0"</f>
        <v>0</v>
      </c>
      <c r="BA315" t="str">
        <f ca="1">IF((OFFSET($A$1, 315 - 1, 51 - 1)) &gt;= (OFFSET($A$1, 77 - 1, 7 - 1)), "1","0")</f>
        <v>0</v>
      </c>
      <c r="BB315">
        <f ca="1" xml:space="preserve"> IF( AND( OFFSET($A$1, 315 - 1, 52 - 1) = "1", OFFSET($A$1, 315 - 1, 53 - 1) = "1" ), 1, IF( AND( OFFSET($A$1, 315 - 1, 52 - 1) = "1", OFFSET($A$1, 315 - 1, 53 - 1) = "0" ), 2, IF( AND( OFFSET($A$1, 315 - 1, 52 - 1) = "0", OFFSET($A$1, 315 - 1, 53 - 1) = "1" ), 3, 4 ) ) )</f>
        <v>4</v>
      </c>
      <c r="BD315" s="7">
        <v>0</v>
      </c>
      <c r="BE315" s="7" t="str">
        <f>"0"</f>
        <v>0</v>
      </c>
      <c r="BF315" t="str">
        <f ca="1">IF((OFFSET($A$1, 315 - 1, 56 - 1)) &gt;= (OFFSET($A$1, 101 - 1, 7 - 1)), "1","0")</f>
        <v>0</v>
      </c>
      <c r="BG315">
        <f ca="1" xml:space="preserve"> IF( AND( OFFSET($A$1, 315 - 1, 57 - 1) = "1", OFFSET($A$1, 315 - 1, 58 - 1) = "1" ), 1, IF( AND( OFFSET($A$1, 315 - 1, 57 - 1) = "1", OFFSET($A$1, 315 - 1, 58 - 1) = "0" ), 2, IF( AND( OFFSET($A$1, 315 - 1, 57 - 1) = "0", OFFSET($A$1, 315 - 1, 58 - 1) = "1" ), 3, 4 ) ) )</f>
        <v>4</v>
      </c>
    </row>
    <row r="316" spans="51:59" x14ac:dyDescent="0.25">
      <c r="AY316" s="7">
        <v>0</v>
      </c>
      <c r="AZ316" s="7" t="str">
        <f>"0"</f>
        <v>0</v>
      </c>
      <c r="BA316" t="str">
        <f ca="1">IF((OFFSET($A$1, 316 - 1, 51 - 1)) &gt;= (OFFSET($A$1, 77 - 1, 7 - 1)), "1","0")</f>
        <v>0</v>
      </c>
      <c r="BB316">
        <f ca="1" xml:space="preserve"> IF( AND( OFFSET($A$1, 316 - 1, 52 - 1) = "1", OFFSET($A$1, 316 - 1, 53 - 1) = "1" ), 1, IF( AND( OFFSET($A$1, 316 - 1, 52 - 1) = "1", OFFSET($A$1, 316 - 1, 53 - 1) = "0" ), 2, IF( AND( OFFSET($A$1, 316 - 1, 52 - 1) = "0", OFFSET($A$1, 316 - 1, 53 - 1) = "1" ), 3, 4 ) ) )</f>
        <v>4</v>
      </c>
      <c r="BD316" s="7">
        <v>0</v>
      </c>
      <c r="BE316" s="7" t="str">
        <f>"0"</f>
        <v>0</v>
      </c>
      <c r="BF316" t="str">
        <f ca="1">IF((OFFSET($A$1, 316 - 1, 56 - 1)) &gt;= (OFFSET($A$1, 101 - 1, 7 - 1)), "1","0")</f>
        <v>0</v>
      </c>
      <c r="BG316">
        <f ca="1" xml:space="preserve"> IF( AND( OFFSET($A$1, 316 - 1, 57 - 1) = "1", OFFSET($A$1, 316 - 1, 58 - 1) = "1" ), 1, IF( AND( OFFSET($A$1, 316 - 1, 57 - 1) = "1", OFFSET($A$1, 316 - 1, 58 - 1) = "0" ), 2, IF( AND( OFFSET($A$1, 316 - 1, 57 - 1) = "0", OFFSET($A$1, 316 - 1, 58 - 1) = "1" ), 3, 4 ) ) )</f>
        <v>4</v>
      </c>
    </row>
    <row r="317" spans="51:59" x14ac:dyDescent="0.25">
      <c r="AY317" s="7">
        <v>0.88235294117647056</v>
      </c>
      <c r="AZ317" s="7" t="str">
        <f>"1"</f>
        <v>1</v>
      </c>
      <c r="BA317" t="str">
        <f ca="1">IF((OFFSET($A$1, 317 - 1, 51 - 1)) &gt;= (OFFSET($A$1, 77 - 1, 7 - 1)), "1","0")</f>
        <v>1</v>
      </c>
      <c r="BB317">
        <f ca="1" xml:space="preserve"> IF( AND( OFFSET($A$1, 317 - 1, 52 - 1) = "1", OFFSET($A$1, 317 - 1, 53 - 1) = "1" ), 1, IF( AND( OFFSET($A$1, 317 - 1, 52 - 1) = "1", OFFSET($A$1, 317 - 1, 53 - 1) = "0" ), 2, IF( AND( OFFSET($A$1, 317 - 1, 52 - 1) = "0", OFFSET($A$1, 317 - 1, 53 - 1) = "1" ), 3, 4 ) ) )</f>
        <v>1</v>
      </c>
      <c r="BD317" s="7">
        <v>0</v>
      </c>
      <c r="BE317" s="7" t="str">
        <f>"0"</f>
        <v>0</v>
      </c>
      <c r="BF317" t="str">
        <f ca="1">IF((OFFSET($A$1, 317 - 1, 56 - 1)) &gt;= (OFFSET($A$1, 101 - 1, 7 - 1)), "1","0")</f>
        <v>0</v>
      </c>
      <c r="BG317">
        <f ca="1" xml:space="preserve"> IF( AND( OFFSET($A$1, 317 - 1, 57 - 1) = "1", OFFSET($A$1, 317 - 1, 58 - 1) = "1" ), 1, IF( AND( OFFSET($A$1, 317 - 1, 57 - 1) = "1", OFFSET($A$1, 317 - 1, 58 - 1) = "0" ), 2, IF( AND( OFFSET($A$1, 317 - 1, 57 - 1) = "0", OFFSET($A$1, 317 - 1, 58 - 1) = "1" ), 3, 4 ) ) )</f>
        <v>4</v>
      </c>
    </row>
    <row r="318" spans="51:59" x14ac:dyDescent="0.25">
      <c r="AY318" s="7">
        <v>5.8823529411764705E-2</v>
      </c>
      <c r="AZ318" s="7" t="str">
        <f>"0"</f>
        <v>0</v>
      </c>
      <c r="BA318" t="str">
        <f ca="1">IF((OFFSET($A$1, 318 - 1, 51 - 1)) &gt;= (OFFSET($A$1, 77 - 1, 7 - 1)), "1","0")</f>
        <v>0</v>
      </c>
      <c r="BB318">
        <f ca="1" xml:space="preserve"> IF( AND( OFFSET($A$1, 318 - 1, 52 - 1) = "1", OFFSET($A$1, 318 - 1, 53 - 1) = "1" ), 1, IF( AND( OFFSET($A$1, 318 - 1, 52 - 1) = "1", OFFSET($A$1, 318 - 1, 53 - 1) = "0" ), 2, IF( AND( OFFSET($A$1, 318 - 1, 52 - 1) = "0", OFFSET($A$1, 318 - 1, 53 - 1) = "1" ), 3, 4 ) ) )</f>
        <v>4</v>
      </c>
      <c r="BD318" s="7">
        <v>0</v>
      </c>
      <c r="BE318" s="7" t="str">
        <f>"0"</f>
        <v>0</v>
      </c>
      <c r="BF318" t="str">
        <f ca="1">IF((OFFSET($A$1, 318 - 1, 56 - 1)) &gt;= (OFFSET($A$1, 101 - 1, 7 - 1)), "1","0")</f>
        <v>0</v>
      </c>
      <c r="BG318">
        <f ca="1" xml:space="preserve"> IF( AND( OFFSET($A$1, 318 - 1, 57 - 1) = "1", OFFSET($A$1, 318 - 1, 58 - 1) = "1" ), 1, IF( AND( OFFSET($A$1, 318 - 1, 57 - 1) = "1", OFFSET($A$1, 318 - 1, 58 - 1) = "0" ), 2, IF( AND( OFFSET($A$1, 318 - 1, 57 - 1) = "0", OFFSET($A$1, 318 - 1, 58 - 1) = "1" ), 3, 4 ) ) )</f>
        <v>4</v>
      </c>
    </row>
    <row r="319" spans="51:59" x14ac:dyDescent="0.25">
      <c r="AY319" s="7">
        <v>1</v>
      </c>
      <c r="AZ319" s="7" t="str">
        <f>"1"</f>
        <v>1</v>
      </c>
      <c r="BA319" t="str">
        <f ca="1">IF((OFFSET($A$1, 319 - 1, 51 - 1)) &gt;= (OFFSET($A$1, 77 - 1, 7 - 1)), "1","0")</f>
        <v>1</v>
      </c>
      <c r="BB319">
        <f ca="1" xml:space="preserve"> IF( AND( OFFSET($A$1, 319 - 1, 52 - 1) = "1", OFFSET($A$1, 319 - 1, 53 - 1) = "1" ), 1, IF( AND( OFFSET($A$1, 319 - 1, 52 - 1) = "1", OFFSET($A$1, 319 - 1, 53 - 1) = "0" ), 2, IF( AND( OFFSET($A$1, 319 - 1, 52 - 1) = "0", OFFSET($A$1, 319 - 1, 53 - 1) = "1" ), 3, 4 ) ) )</f>
        <v>1</v>
      </c>
      <c r="BD319" s="7">
        <v>0.23529411764705882</v>
      </c>
      <c r="BE319" s="7" t="str">
        <f>"0"</f>
        <v>0</v>
      </c>
      <c r="BF319" t="str">
        <f ca="1">IF((OFFSET($A$1, 319 - 1, 56 - 1)) &gt;= (OFFSET($A$1, 101 - 1, 7 - 1)), "1","0")</f>
        <v>0</v>
      </c>
      <c r="BG319">
        <f ca="1" xml:space="preserve"> IF( AND( OFFSET($A$1, 319 - 1, 57 - 1) = "1", OFFSET($A$1, 319 - 1, 58 - 1) = "1" ), 1, IF( AND( OFFSET($A$1, 319 - 1, 57 - 1) = "1", OFFSET($A$1, 319 - 1, 58 - 1) = "0" ), 2, IF( AND( OFFSET($A$1, 319 - 1, 57 - 1) = "0", OFFSET($A$1, 319 - 1, 58 - 1) = "1" ), 3, 4 ) ) )</f>
        <v>4</v>
      </c>
    </row>
    <row r="320" spans="51:59" x14ac:dyDescent="0.25">
      <c r="AY320" s="7">
        <v>0</v>
      </c>
      <c r="AZ320" s="7" t="str">
        <f>"0"</f>
        <v>0</v>
      </c>
      <c r="BA320" t="str">
        <f ca="1">IF((OFFSET($A$1, 320 - 1, 51 - 1)) &gt;= (OFFSET($A$1, 77 - 1, 7 - 1)), "1","0")</f>
        <v>0</v>
      </c>
      <c r="BB320">
        <f ca="1" xml:space="preserve"> IF( AND( OFFSET($A$1, 320 - 1, 52 - 1) = "1", OFFSET($A$1, 320 - 1, 53 - 1) = "1" ), 1, IF( AND( OFFSET($A$1, 320 - 1, 52 - 1) = "1", OFFSET($A$1, 320 - 1, 53 - 1) = "0" ), 2, IF( AND( OFFSET($A$1, 320 - 1, 52 - 1) = "0", OFFSET($A$1, 320 - 1, 53 - 1) = "1" ), 3, 4 ) ) )</f>
        <v>4</v>
      </c>
      <c r="BD320" s="7">
        <v>1</v>
      </c>
      <c r="BE320" s="7" t="str">
        <f>"1"</f>
        <v>1</v>
      </c>
      <c r="BF320" t="str">
        <f ca="1">IF((OFFSET($A$1, 320 - 1, 56 - 1)) &gt;= (OFFSET($A$1, 101 - 1, 7 - 1)), "1","0")</f>
        <v>1</v>
      </c>
      <c r="BG320">
        <f ca="1" xml:space="preserve"> IF( AND( OFFSET($A$1, 320 - 1, 57 - 1) = "1", OFFSET($A$1, 320 - 1, 58 - 1) = "1" ), 1, IF( AND( OFFSET($A$1, 320 - 1, 57 - 1) = "1", OFFSET($A$1, 320 - 1, 58 - 1) = "0" ), 2, IF( AND( OFFSET($A$1, 320 - 1, 57 - 1) = "0", OFFSET($A$1, 320 - 1, 58 - 1) = "1" ), 3, 4 ) ) )</f>
        <v>1</v>
      </c>
    </row>
    <row r="321" spans="51:59" x14ac:dyDescent="0.25">
      <c r="AY321" s="7">
        <v>0</v>
      </c>
      <c r="AZ321" s="7" t="str">
        <f>"0"</f>
        <v>0</v>
      </c>
      <c r="BA321" t="str">
        <f ca="1">IF((OFFSET($A$1, 321 - 1, 51 - 1)) &gt;= (OFFSET($A$1, 77 - 1, 7 - 1)), "1","0")</f>
        <v>0</v>
      </c>
      <c r="BB321">
        <f ca="1" xml:space="preserve"> IF( AND( OFFSET($A$1, 321 - 1, 52 - 1) = "1", OFFSET($A$1, 321 - 1, 53 - 1) = "1" ), 1, IF( AND( OFFSET($A$1, 321 - 1, 52 - 1) = "1", OFFSET($A$1, 321 - 1, 53 - 1) = "0" ), 2, IF( AND( OFFSET($A$1, 321 - 1, 52 - 1) = "0", OFFSET($A$1, 321 - 1, 53 - 1) = "1" ), 3, 4 ) ) )</f>
        <v>4</v>
      </c>
      <c r="BD321" s="7">
        <v>1</v>
      </c>
      <c r="BE321" s="7" t="str">
        <f>"1"</f>
        <v>1</v>
      </c>
      <c r="BF321" t="str">
        <f ca="1">IF((OFFSET($A$1, 321 - 1, 56 - 1)) &gt;= (OFFSET($A$1, 101 - 1, 7 - 1)), "1","0")</f>
        <v>1</v>
      </c>
      <c r="BG321">
        <f ca="1" xml:space="preserve"> IF( AND( OFFSET($A$1, 321 - 1, 57 - 1) = "1", OFFSET($A$1, 321 - 1, 58 - 1) = "1" ), 1, IF( AND( OFFSET($A$1, 321 - 1, 57 - 1) = "1", OFFSET($A$1, 321 - 1, 58 - 1) = "0" ), 2, IF( AND( OFFSET($A$1, 321 - 1, 57 - 1) = "0", OFFSET($A$1, 321 - 1, 58 - 1) = "1" ), 3, 4 ) ) )</f>
        <v>1</v>
      </c>
    </row>
    <row r="322" spans="51:59" x14ac:dyDescent="0.25">
      <c r="AY322" s="7">
        <v>0</v>
      </c>
      <c r="AZ322" s="7" t="str">
        <f>"0"</f>
        <v>0</v>
      </c>
      <c r="BA322" t="str">
        <f ca="1">IF((OFFSET($A$1, 322 - 1, 51 - 1)) &gt;= (OFFSET($A$1, 77 - 1, 7 - 1)), "1","0")</f>
        <v>0</v>
      </c>
      <c r="BB322">
        <f ca="1" xml:space="preserve"> IF( AND( OFFSET($A$1, 322 - 1, 52 - 1) = "1", OFFSET($A$1, 322 - 1, 53 - 1) = "1" ), 1, IF( AND( OFFSET($A$1, 322 - 1, 52 - 1) = "1", OFFSET($A$1, 322 - 1, 53 - 1) = "0" ), 2, IF( AND( OFFSET($A$1, 322 - 1, 52 - 1) = "0", OFFSET($A$1, 322 - 1, 53 - 1) = "1" ), 3, 4 ) ) )</f>
        <v>4</v>
      </c>
      <c r="BD322" s="7">
        <v>0.76470588235294112</v>
      </c>
      <c r="BE322" s="7" t="str">
        <f>"1"</f>
        <v>1</v>
      </c>
      <c r="BF322" t="str">
        <f ca="1">IF((OFFSET($A$1, 322 - 1, 56 - 1)) &gt;= (OFFSET($A$1, 101 - 1, 7 - 1)), "1","0")</f>
        <v>1</v>
      </c>
      <c r="BG322">
        <f ca="1" xml:space="preserve"> IF( AND( OFFSET($A$1, 322 - 1, 57 - 1) = "1", OFFSET($A$1, 322 - 1, 58 - 1) = "1" ), 1, IF( AND( OFFSET($A$1, 322 - 1, 57 - 1) = "1", OFFSET($A$1, 322 - 1, 58 - 1) = "0" ), 2, IF( AND( OFFSET($A$1, 322 - 1, 57 - 1) = "0", OFFSET($A$1, 322 - 1, 58 - 1) = "1" ), 3, 4 ) ) )</f>
        <v>1</v>
      </c>
    </row>
    <row r="323" spans="51:59" x14ac:dyDescent="0.25">
      <c r="AY323" s="7">
        <v>1</v>
      </c>
      <c r="AZ323" s="7" t="str">
        <f>"1"</f>
        <v>1</v>
      </c>
      <c r="BA323" t="str">
        <f ca="1">IF((OFFSET($A$1, 323 - 1, 51 - 1)) &gt;= (OFFSET($A$1, 77 - 1, 7 - 1)), "1","0")</f>
        <v>1</v>
      </c>
      <c r="BB323">
        <f ca="1" xml:space="preserve"> IF( AND( OFFSET($A$1, 323 - 1, 52 - 1) = "1", OFFSET($A$1, 323 - 1, 53 - 1) = "1" ), 1, IF( AND( OFFSET($A$1, 323 - 1, 52 - 1) = "1", OFFSET($A$1, 323 - 1, 53 - 1) = "0" ), 2, IF( AND( OFFSET($A$1, 323 - 1, 52 - 1) = "0", OFFSET($A$1, 323 - 1, 53 - 1) = "1" ), 3, 4 ) ) )</f>
        <v>1</v>
      </c>
      <c r="BD323" s="7">
        <v>1</v>
      </c>
      <c r="BE323" s="7" t="str">
        <f>"1"</f>
        <v>1</v>
      </c>
      <c r="BF323" t="str">
        <f ca="1">IF((OFFSET($A$1, 323 - 1, 56 - 1)) &gt;= (OFFSET($A$1, 101 - 1, 7 - 1)), "1","0")</f>
        <v>1</v>
      </c>
      <c r="BG323">
        <f ca="1" xml:space="preserve"> IF( AND( OFFSET($A$1, 323 - 1, 57 - 1) = "1", OFFSET($A$1, 323 - 1, 58 - 1) = "1" ), 1, IF( AND( OFFSET($A$1, 323 - 1, 57 - 1) = "1", OFFSET($A$1, 323 - 1, 58 - 1) = "0" ), 2, IF( AND( OFFSET($A$1, 323 - 1, 57 - 1) = "0", OFFSET($A$1, 323 - 1, 58 - 1) = "1" ), 3, 4 ) ) )</f>
        <v>1</v>
      </c>
    </row>
    <row r="324" spans="51:59" x14ac:dyDescent="0.25">
      <c r="AY324" s="7">
        <v>0.88235294117647056</v>
      </c>
      <c r="AZ324" s="7" t="str">
        <f>"1"</f>
        <v>1</v>
      </c>
      <c r="BA324" t="str">
        <f ca="1">IF((OFFSET($A$1, 324 - 1, 51 - 1)) &gt;= (OFFSET($A$1, 77 - 1, 7 - 1)), "1","0")</f>
        <v>1</v>
      </c>
      <c r="BB324">
        <f ca="1" xml:space="preserve"> IF( AND( OFFSET($A$1, 324 - 1, 52 - 1) = "1", OFFSET($A$1, 324 - 1, 53 - 1) = "1" ), 1, IF( AND( OFFSET($A$1, 324 - 1, 52 - 1) = "1", OFFSET($A$1, 324 - 1, 53 - 1) = "0" ), 2, IF( AND( OFFSET($A$1, 324 - 1, 52 - 1) = "0", OFFSET($A$1, 324 - 1, 53 - 1) = "1" ), 3, 4 ) ) )</f>
        <v>1</v>
      </c>
      <c r="BD324" s="7">
        <v>0.29411764705882354</v>
      </c>
      <c r="BE324" s="7" t="str">
        <f>"0"</f>
        <v>0</v>
      </c>
      <c r="BF324" t="str">
        <f ca="1">IF((OFFSET($A$1, 324 - 1, 56 - 1)) &gt;= (OFFSET($A$1, 101 - 1, 7 - 1)), "1","0")</f>
        <v>0</v>
      </c>
      <c r="BG324">
        <f ca="1" xml:space="preserve"> IF( AND( OFFSET($A$1, 324 - 1, 57 - 1) = "1", OFFSET($A$1, 324 - 1, 58 - 1) = "1" ), 1, IF( AND( OFFSET($A$1, 324 - 1, 57 - 1) = "1", OFFSET($A$1, 324 - 1, 58 - 1) = "0" ), 2, IF( AND( OFFSET($A$1, 324 - 1, 57 - 1) = "0", OFFSET($A$1, 324 - 1, 58 - 1) = "1" ), 3, 4 ) ) )</f>
        <v>4</v>
      </c>
    </row>
    <row r="325" spans="51:59" x14ac:dyDescent="0.25">
      <c r="AY325" s="7">
        <v>0</v>
      </c>
      <c r="AZ325" s="7" t="str">
        <f>"0"</f>
        <v>0</v>
      </c>
      <c r="BA325" t="str">
        <f ca="1">IF((OFFSET($A$1, 325 - 1, 51 - 1)) &gt;= (OFFSET($A$1, 77 - 1, 7 - 1)), "1","0")</f>
        <v>0</v>
      </c>
      <c r="BB325">
        <f ca="1" xml:space="preserve"> IF( AND( OFFSET($A$1, 325 - 1, 52 - 1) = "1", OFFSET($A$1, 325 - 1, 53 - 1) = "1" ), 1, IF( AND( OFFSET($A$1, 325 - 1, 52 - 1) = "1", OFFSET($A$1, 325 - 1, 53 - 1) = "0" ), 2, IF( AND( OFFSET($A$1, 325 - 1, 52 - 1) = "0", OFFSET($A$1, 325 - 1, 53 - 1) = "1" ), 3, 4 ) ) )</f>
        <v>4</v>
      </c>
      <c r="BD325" s="7">
        <v>0.23529411764705882</v>
      </c>
      <c r="BE325" s="7" t="str">
        <f>"0"</f>
        <v>0</v>
      </c>
      <c r="BF325" t="str">
        <f ca="1">IF((OFFSET($A$1, 325 - 1, 56 - 1)) &gt;= (OFFSET($A$1, 101 - 1, 7 - 1)), "1","0")</f>
        <v>0</v>
      </c>
      <c r="BG325">
        <f ca="1" xml:space="preserve"> IF( AND( OFFSET($A$1, 325 - 1, 57 - 1) = "1", OFFSET($A$1, 325 - 1, 58 - 1) = "1" ), 1, IF( AND( OFFSET($A$1, 325 - 1, 57 - 1) = "1", OFFSET($A$1, 325 - 1, 58 - 1) = "0" ), 2, IF( AND( OFFSET($A$1, 325 - 1, 57 - 1) = "0", OFFSET($A$1, 325 - 1, 58 - 1) = "1" ), 3, 4 ) ) )</f>
        <v>4</v>
      </c>
    </row>
    <row r="326" spans="51:59" x14ac:dyDescent="0.25">
      <c r="AY326" s="7">
        <v>0</v>
      </c>
      <c r="AZ326" s="7" t="str">
        <f>"0"</f>
        <v>0</v>
      </c>
      <c r="BA326" t="str">
        <f ca="1">IF((OFFSET($A$1, 326 - 1, 51 - 1)) &gt;= (OFFSET($A$1, 77 - 1, 7 - 1)), "1","0")</f>
        <v>0</v>
      </c>
      <c r="BB326">
        <f ca="1" xml:space="preserve"> IF( AND( OFFSET($A$1, 326 - 1, 52 - 1) = "1", OFFSET($A$1, 326 - 1, 53 - 1) = "1" ), 1, IF( AND( OFFSET($A$1, 326 - 1, 52 - 1) = "1", OFFSET($A$1, 326 - 1, 53 - 1) = "0" ), 2, IF( AND( OFFSET($A$1, 326 - 1, 52 - 1) = "0", OFFSET($A$1, 326 - 1, 53 - 1) = "1" ), 3, 4 ) ) )</f>
        <v>4</v>
      </c>
      <c r="BD326" s="7">
        <v>0.94117647058823528</v>
      </c>
      <c r="BE326" s="7" t="str">
        <f>"1"</f>
        <v>1</v>
      </c>
      <c r="BF326" t="str">
        <f ca="1">IF((OFFSET($A$1, 326 - 1, 56 - 1)) &gt;= (OFFSET($A$1, 101 - 1, 7 - 1)), "1","0")</f>
        <v>1</v>
      </c>
      <c r="BG326">
        <f ca="1" xml:space="preserve"> IF( AND( OFFSET($A$1, 326 - 1, 57 - 1) = "1", OFFSET($A$1, 326 - 1, 58 - 1) = "1" ), 1, IF( AND( OFFSET($A$1, 326 - 1, 57 - 1) = "1", OFFSET($A$1, 326 - 1, 58 - 1) = "0" ), 2, IF( AND( OFFSET($A$1, 326 - 1, 57 - 1) = "0", OFFSET($A$1, 326 - 1, 58 - 1) = "1" ), 3, 4 ) ) )</f>
        <v>1</v>
      </c>
    </row>
    <row r="327" spans="51:59" x14ac:dyDescent="0.25">
      <c r="AY327" s="7">
        <v>0.94117647058823528</v>
      </c>
      <c r="AZ327" s="7" t="str">
        <f>"1"</f>
        <v>1</v>
      </c>
      <c r="BA327" t="str">
        <f ca="1">IF((OFFSET($A$1, 327 - 1, 51 - 1)) &gt;= (OFFSET($A$1, 77 - 1, 7 - 1)), "1","0")</f>
        <v>1</v>
      </c>
      <c r="BB327">
        <f ca="1" xml:space="preserve"> IF( AND( OFFSET($A$1, 327 - 1, 52 - 1) = "1", OFFSET($A$1, 327 - 1, 53 - 1) = "1" ), 1, IF( AND( OFFSET($A$1, 327 - 1, 52 - 1) = "1", OFFSET($A$1, 327 - 1, 53 - 1) = "0" ), 2, IF( AND( OFFSET($A$1, 327 - 1, 52 - 1) = "0", OFFSET($A$1, 327 - 1, 53 - 1) = "1" ), 3, 4 ) ) )</f>
        <v>1</v>
      </c>
      <c r="BD327" s="7">
        <v>0</v>
      </c>
      <c r="BE327" s="7" t="str">
        <f>"0"</f>
        <v>0</v>
      </c>
      <c r="BF327" t="str">
        <f ca="1">IF((OFFSET($A$1, 327 - 1, 56 - 1)) &gt;= (OFFSET($A$1, 101 - 1, 7 - 1)), "1","0")</f>
        <v>0</v>
      </c>
      <c r="BG327">
        <f ca="1" xml:space="preserve"> IF( AND( OFFSET($A$1, 327 - 1, 57 - 1) = "1", OFFSET($A$1, 327 - 1, 58 - 1) = "1" ), 1, IF( AND( OFFSET($A$1, 327 - 1, 57 - 1) = "1", OFFSET($A$1, 327 - 1, 58 - 1) = "0" ), 2, IF( AND( OFFSET($A$1, 327 - 1, 57 - 1) = "0", OFFSET($A$1, 327 - 1, 58 - 1) = "1" ), 3, 4 ) ) )</f>
        <v>4</v>
      </c>
    </row>
    <row r="328" spans="51:59" x14ac:dyDescent="0.25">
      <c r="AY328" s="7">
        <v>0.17647058823529413</v>
      </c>
      <c r="AZ328" s="7" t="str">
        <f>"0"</f>
        <v>0</v>
      </c>
      <c r="BA328" t="str">
        <f ca="1">IF((OFFSET($A$1, 328 - 1, 51 - 1)) &gt;= (OFFSET($A$1, 77 - 1, 7 - 1)), "1","0")</f>
        <v>0</v>
      </c>
      <c r="BB328">
        <f ca="1" xml:space="preserve"> IF( AND( OFFSET($A$1, 328 - 1, 52 - 1) = "1", OFFSET($A$1, 328 - 1, 53 - 1) = "1" ), 1, IF( AND( OFFSET($A$1, 328 - 1, 52 - 1) = "1", OFFSET($A$1, 328 - 1, 53 - 1) = "0" ), 2, IF( AND( OFFSET($A$1, 328 - 1, 52 - 1) = "0", OFFSET($A$1, 328 - 1, 53 - 1) = "1" ), 3, 4 ) ) )</f>
        <v>4</v>
      </c>
      <c r="BD328" s="7">
        <v>0</v>
      </c>
      <c r="BE328" s="7" t="str">
        <f>"0"</f>
        <v>0</v>
      </c>
      <c r="BF328" t="str">
        <f ca="1">IF((OFFSET($A$1, 328 - 1, 56 - 1)) &gt;= (OFFSET($A$1, 101 - 1, 7 - 1)), "1","0")</f>
        <v>0</v>
      </c>
      <c r="BG328">
        <f ca="1" xml:space="preserve"> IF( AND( OFFSET($A$1, 328 - 1, 57 - 1) = "1", OFFSET($A$1, 328 - 1, 58 - 1) = "1" ), 1, IF( AND( OFFSET($A$1, 328 - 1, 57 - 1) = "1", OFFSET($A$1, 328 - 1, 58 - 1) = "0" ), 2, IF( AND( OFFSET($A$1, 328 - 1, 57 - 1) = "0", OFFSET($A$1, 328 - 1, 58 - 1) = "1" ), 3, 4 ) ) )</f>
        <v>4</v>
      </c>
    </row>
    <row r="329" spans="51:59" x14ac:dyDescent="0.25">
      <c r="AY329" s="7">
        <v>0</v>
      </c>
      <c r="AZ329" s="7" t="str">
        <f>"0"</f>
        <v>0</v>
      </c>
      <c r="BA329" t="str">
        <f ca="1">IF((OFFSET($A$1, 329 - 1, 51 - 1)) &gt;= (OFFSET($A$1, 77 - 1, 7 - 1)), "1","0")</f>
        <v>0</v>
      </c>
      <c r="BB329">
        <f ca="1" xml:space="preserve"> IF( AND( OFFSET($A$1, 329 - 1, 52 - 1) = "1", OFFSET($A$1, 329 - 1, 53 - 1) = "1" ), 1, IF( AND( OFFSET($A$1, 329 - 1, 52 - 1) = "1", OFFSET($A$1, 329 - 1, 53 - 1) = "0" ), 2, IF( AND( OFFSET($A$1, 329 - 1, 52 - 1) = "0", OFFSET($A$1, 329 - 1, 53 - 1) = "1" ), 3, 4 ) ) )</f>
        <v>4</v>
      </c>
      <c r="BD329" s="7">
        <v>0.70588235294117652</v>
      </c>
      <c r="BE329" s="7" t="str">
        <f>"0"</f>
        <v>0</v>
      </c>
      <c r="BF329" t="str">
        <f ca="1">IF((OFFSET($A$1, 329 - 1, 56 - 1)) &gt;= (OFFSET($A$1, 101 - 1, 7 - 1)), "1","0")</f>
        <v>1</v>
      </c>
      <c r="BG329">
        <f ca="1" xml:space="preserve"> IF( AND( OFFSET($A$1, 329 - 1, 57 - 1) = "1", OFFSET($A$1, 329 - 1, 58 - 1) = "1" ), 1, IF( AND( OFFSET($A$1, 329 - 1, 57 - 1) = "1", OFFSET($A$1, 329 - 1, 58 - 1) = "0" ), 2, IF( AND( OFFSET($A$1, 329 - 1, 57 - 1) = "0", OFFSET($A$1, 329 - 1, 58 - 1) = "1" ), 3, 4 ) ) )</f>
        <v>3</v>
      </c>
    </row>
    <row r="330" spans="51:59" x14ac:dyDescent="0.25">
      <c r="AY330" s="7">
        <v>5.8823529411764705E-2</v>
      </c>
      <c r="AZ330" s="7" t="str">
        <f>"1"</f>
        <v>1</v>
      </c>
      <c r="BA330" t="str">
        <f ca="1">IF((OFFSET($A$1, 330 - 1, 51 - 1)) &gt;= (OFFSET($A$1, 77 - 1, 7 - 1)), "1","0")</f>
        <v>0</v>
      </c>
      <c r="BB330">
        <f ca="1" xml:space="preserve"> IF( AND( OFFSET($A$1, 330 - 1, 52 - 1) = "1", OFFSET($A$1, 330 - 1, 53 - 1) = "1" ), 1, IF( AND( OFFSET($A$1, 330 - 1, 52 - 1) = "1", OFFSET($A$1, 330 - 1, 53 - 1) = "0" ), 2, IF( AND( OFFSET($A$1, 330 - 1, 52 - 1) = "0", OFFSET($A$1, 330 - 1, 53 - 1) = "1" ), 3, 4 ) ) )</f>
        <v>2</v>
      </c>
      <c r="BD330" s="7">
        <v>5.8823529411764705E-2</v>
      </c>
      <c r="BE330" s="7" t="str">
        <f>"0"</f>
        <v>0</v>
      </c>
      <c r="BF330" t="str">
        <f ca="1">IF((OFFSET($A$1, 330 - 1, 56 - 1)) &gt;= (OFFSET($A$1, 101 - 1, 7 - 1)), "1","0")</f>
        <v>0</v>
      </c>
      <c r="BG330">
        <f ca="1" xml:space="preserve"> IF( AND( OFFSET($A$1, 330 - 1, 57 - 1) = "1", OFFSET($A$1, 330 - 1, 58 - 1) = "1" ), 1, IF( AND( OFFSET($A$1, 330 - 1, 57 - 1) = "1", OFFSET($A$1, 330 - 1, 58 - 1) = "0" ), 2, IF( AND( OFFSET($A$1, 330 - 1, 57 - 1) = "0", OFFSET($A$1, 330 - 1, 58 - 1) = "1" ), 3, 4 ) ) )</f>
        <v>4</v>
      </c>
    </row>
    <row r="331" spans="51:59" x14ac:dyDescent="0.25">
      <c r="AY331" s="7">
        <v>0.17647058823529413</v>
      </c>
      <c r="AZ331" s="7" t="str">
        <f>"0"</f>
        <v>0</v>
      </c>
      <c r="BA331" t="str">
        <f ca="1">IF((OFFSET($A$1, 331 - 1, 51 - 1)) &gt;= (OFFSET($A$1, 77 - 1, 7 - 1)), "1","0")</f>
        <v>0</v>
      </c>
      <c r="BB331">
        <f ca="1" xml:space="preserve"> IF( AND( OFFSET($A$1, 331 - 1, 52 - 1) = "1", OFFSET($A$1, 331 - 1, 53 - 1) = "1" ), 1, IF( AND( OFFSET($A$1, 331 - 1, 52 - 1) = "1", OFFSET($A$1, 331 - 1, 53 - 1) = "0" ), 2, IF( AND( OFFSET($A$1, 331 - 1, 52 - 1) = "0", OFFSET($A$1, 331 - 1, 53 - 1) = "1" ), 3, 4 ) ) )</f>
        <v>4</v>
      </c>
      <c r="BD331" s="7">
        <v>5.8823529411764705E-2</v>
      </c>
      <c r="BE331" s="7" t="str">
        <f>"0"</f>
        <v>0</v>
      </c>
      <c r="BF331" t="str">
        <f ca="1">IF((OFFSET($A$1, 331 - 1, 56 - 1)) &gt;= (OFFSET($A$1, 101 - 1, 7 - 1)), "1","0")</f>
        <v>0</v>
      </c>
      <c r="BG331">
        <f ca="1" xml:space="preserve"> IF( AND( OFFSET($A$1, 331 - 1, 57 - 1) = "1", OFFSET($A$1, 331 - 1, 58 - 1) = "1" ), 1, IF( AND( OFFSET($A$1, 331 - 1, 57 - 1) = "1", OFFSET($A$1, 331 - 1, 58 - 1) = "0" ), 2, IF( AND( OFFSET($A$1, 331 - 1, 57 - 1) = "0", OFFSET($A$1, 331 - 1, 58 - 1) = "1" ), 3, 4 ) ) )</f>
        <v>4</v>
      </c>
    </row>
    <row r="332" spans="51:59" x14ac:dyDescent="0.25">
      <c r="AY332" s="7">
        <v>0</v>
      </c>
      <c r="AZ332" s="7" t="str">
        <f>"0"</f>
        <v>0</v>
      </c>
      <c r="BA332" t="str">
        <f ca="1">IF((OFFSET($A$1, 332 - 1, 51 - 1)) &gt;= (OFFSET($A$1, 77 - 1, 7 - 1)), "1","0")</f>
        <v>0</v>
      </c>
      <c r="BB332">
        <f ca="1" xml:space="preserve"> IF( AND( OFFSET($A$1, 332 - 1, 52 - 1) = "1", OFFSET($A$1, 332 - 1, 53 - 1) = "1" ), 1, IF( AND( OFFSET($A$1, 332 - 1, 52 - 1) = "1", OFFSET($A$1, 332 - 1, 53 - 1) = "0" ), 2, IF( AND( OFFSET($A$1, 332 - 1, 52 - 1) = "0", OFFSET($A$1, 332 - 1, 53 - 1) = "1" ), 3, 4 ) ) )</f>
        <v>4</v>
      </c>
      <c r="BD332" s="7">
        <v>1</v>
      </c>
      <c r="BE332" s="7" t="str">
        <f>"1"</f>
        <v>1</v>
      </c>
      <c r="BF332" t="str">
        <f ca="1">IF((OFFSET($A$1, 332 - 1, 56 - 1)) &gt;= (OFFSET($A$1, 101 - 1, 7 - 1)), "1","0")</f>
        <v>1</v>
      </c>
      <c r="BG332">
        <f ca="1" xml:space="preserve"> IF( AND( OFFSET($A$1, 332 - 1, 57 - 1) = "1", OFFSET($A$1, 332 - 1, 58 - 1) = "1" ), 1, IF( AND( OFFSET($A$1, 332 - 1, 57 - 1) = "1", OFFSET($A$1, 332 - 1, 58 - 1) = "0" ), 2, IF( AND( OFFSET($A$1, 332 - 1, 57 - 1) = "0", OFFSET($A$1, 332 - 1, 58 - 1) = "1" ), 3, 4 ) ) )</f>
        <v>1</v>
      </c>
    </row>
    <row r="333" spans="51:59" x14ac:dyDescent="0.25">
      <c r="AY333" s="7">
        <v>0</v>
      </c>
      <c r="AZ333" s="7" t="str">
        <f>"0"</f>
        <v>0</v>
      </c>
      <c r="BA333" t="str">
        <f ca="1">IF((OFFSET($A$1, 333 - 1, 51 - 1)) &gt;= (OFFSET($A$1, 77 - 1, 7 - 1)), "1","0")</f>
        <v>0</v>
      </c>
      <c r="BB333">
        <f ca="1" xml:space="preserve"> IF( AND( OFFSET($A$1, 333 - 1, 52 - 1) = "1", OFFSET($A$1, 333 - 1, 53 - 1) = "1" ), 1, IF( AND( OFFSET($A$1, 333 - 1, 52 - 1) = "1", OFFSET($A$1, 333 - 1, 53 - 1) = "0" ), 2, IF( AND( OFFSET($A$1, 333 - 1, 52 - 1) = "0", OFFSET($A$1, 333 - 1, 53 - 1) = "1" ), 3, 4 ) ) )</f>
        <v>4</v>
      </c>
      <c r="BD333" s="7">
        <v>0</v>
      </c>
      <c r="BE333" s="7" t="str">
        <f>"0"</f>
        <v>0</v>
      </c>
      <c r="BF333" t="str">
        <f ca="1">IF((OFFSET($A$1, 333 - 1, 56 - 1)) &gt;= (OFFSET($A$1, 101 - 1, 7 - 1)), "1","0")</f>
        <v>0</v>
      </c>
      <c r="BG333">
        <f ca="1" xml:space="preserve"> IF( AND( OFFSET($A$1, 333 - 1, 57 - 1) = "1", OFFSET($A$1, 333 - 1, 58 - 1) = "1" ), 1, IF( AND( OFFSET($A$1, 333 - 1, 57 - 1) = "1", OFFSET($A$1, 333 - 1, 58 - 1) = "0" ), 2, IF( AND( OFFSET($A$1, 333 - 1, 57 - 1) = "0", OFFSET($A$1, 333 - 1, 58 - 1) = "1" ), 3, 4 ) ) )</f>
        <v>4</v>
      </c>
    </row>
    <row r="334" spans="51:59" x14ac:dyDescent="0.25">
      <c r="AY334" s="7">
        <v>0</v>
      </c>
      <c r="AZ334" s="7" t="str">
        <f>"0"</f>
        <v>0</v>
      </c>
      <c r="BA334" t="str">
        <f ca="1">IF((OFFSET($A$1, 334 - 1, 51 - 1)) &gt;= (OFFSET($A$1, 77 - 1, 7 - 1)), "1","0")</f>
        <v>0</v>
      </c>
      <c r="BB334">
        <f ca="1" xml:space="preserve"> IF( AND( OFFSET($A$1, 334 - 1, 52 - 1) = "1", OFFSET($A$1, 334 - 1, 53 - 1) = "1" ), 1, IF( AND( OFFSET($A$1, 334 - 1, 52 - 1) = "1", OFFSET($A$1, 334 - 1, 53 - 1) = "0" ), 2, IF( AND( OFFSET($A$1, 334 - 1, 52 - 1) = "0", OFFSET($A$1, 334 - 1, 53 - 1) = "1" ), 3, 4 ) ) )</f>
        <v>4</v>
      </c>
      <c r="BD334" s="7">
        <v>1</v>
      </c>
      <c r="BE334" s="7" t="str">
        <f>"1"</f>
        <v>1</v>
      </c>
      <c r="BF334" t="str">
        <f ca="1">IF((OFFSET($A$1, 334 - 1, 56 - 1)) &gt;= (OFFSET($A$1, 101 - 1, 7 - 1)), "1","0")</f>
        <v>1</v>
      </c>
      <c r="BG334">
        <f ca="1" xml:space="preserve"> IF( AND( OFFSET($A$1, 334 - 1, 57 - 1) = "1", OFFSET($A$1, 334 - 1, 58 - 1) = "1" ), 1, IF( AND( OFFSET($A$1, 334 - 1, 57 - 1) = "1", OFFSET($A$1, 334 - 1, 58 - 1) = "0" ), 2, IF( AND( OFFSET($A$1, 334 - 1, 57 - 1) = "0", OFFSET($A$1, 334 - 1, 58 - 1) = "1" ), 3, 4 ) ) )</f>
        <v>1</v>
      </c>
    </row>
    <row r="335" spans="51:59" x14ac:dyDescent="0.25">
      <c r="AY335" s="7">
        <v>0</v>
      </c>
      <c r="AZ335" s="7" t="str">
        <f>"0"</f>
        <v>0</v>
      </c>
      <c r="BA335" t="str">
        <f ca="1">IF((OFFSET($A$1, 335 - 1, 51 - 1)) &gt;= (OFFSET($A$1, 77 - 1, 7 - 1)), "1","0")</f>
        <v>0</v>
      </c>
      <c r="BB335">
        <f ca="1" xml:space="preserve"> IF( AND( OFFSET($A$1, 335 - 1, 52 - 1) = "1", OFFSET($A$1, 335 - 1, 53 - 1) = "1" ), 1, IF( AND( OFFSET($A$1, 335 - 1, 52 - 1) = "1", OFFSET($A$1, 335 - 1, 53 - 1) = "0" ), 2, IF( AND( OFFSET($A$1, 335 - 1, 52 - 1) = "0", OFFSET($A$1, 335 - 1, 53 - 1) = "1" ), 3, 4 ) ) )</f>
        <v>4</v>
      </c>
      <c r="BD335" s="7">
        <v>0</v>
      </c>
      <c r="BE335" s="7" t="str">
        <f>"0"</f>
        <v>0</v>
      </c>
      <c r="BF335" t="str">
        <f ca="1">IF((OFFSET($A$1, 335 - 1, 56 - 1)) &gt;= (OFFSET($A$1, 101 - 1, 7 - 1)), "1","0")</f>
        <v>0</v>
      </c>
      <c r="BG335">
        <f ca="1" xml:space="preserve"> IF( AND( OFFSET($A$1, 335 - 1, 57 - 1) = "1", OFFSET($A$1, 335 - 1, 58 - 1) = "1" ), 1, IF( AND( OFFSET($A$1, 335 - 1, 57 - 1) = "1", OFFSET($A$1, 335 - 1, 58 - 1) = "0" ), 2, IF( AND( OFFSET($A$1, 335 - 1, 57 - 1) = "0", OFFSET($A$1, 335 - 1, 58 - 1) = "1" ), 3, 4 ) ) )</f>
        <v>4</v>
      </c>
    </row>
    <row r="336" spans="51:59" x14ac:dyDescent="0.25">
      <c r="AY336" s="7">
        <v>0</v>
      </c>
      <c r="AZ336" s="7" t="str">
        <f>"0"</f>
        <v>0</v>
      </c>
      <c r="BA336" t="str">
        <f ca="1">IF((OFFSET($A$1, 336 - 1, 51 - 1)) &gt;= (OFFSET($A$1, 77 - 1, 7 - 1)), "1","0")</f>
        <v>0</v>
      </c>
      <c r="BB336">
        <f ca="1" xml:space="preserve"> IF( AND( OFFSET($A$1, 336 - 1, 52 - 1) = "1", OFFSET($A$1, 336 - 1, 53 - 1) = "1" ), 1, IF( AND( OFFSET($A$1, 336 - 1, 52 - 1) = "1", OFFSET($A$1, 336 - 1, 53 - 1) = "0" ), 2, IF( AND( OFFSET($A$1, 336 - 1, 52 - 1) = "0", OFFSET($A$1, 336 - 1, 53 - 1) = "1" ), 3, 4 ) ) )</f>
        <v>4</v>
      </c>
      <c r="BD336" s="7">
        <v>1</v>
      </c>
      <c r="BE336" s="7" t="str">
        <f>"1"</f>
        <v>1</v>
      </c>
      <c r="BF336" t="str">
        <f ca="1">IF((OFFSET($A$1, 336 - 1, 56 - 1)) &gt;= (OFFSET($A$1, 101 - 1, 7 - 1)), "1","0")</f>
        <v>1</v>
      </c>
      <c r="BG336">
        <f ca="1" xml:space="preserve"> IF( AND( OFFSET($A$1, 336 - 1, 57 - 1) = "1", OFFSET($A$1, 336 - 1, 58 - 1) = "1" ), 1, IF( AND( OFFSET($A$1, 336 - 1, 57 - 1) = "1", OFFSET($A$1, 336 - 1, 58 - 1) = "0" ), 2, IF( AND( OFFSET($A$1, 336 - 1, 57 - 1) = "0", OFFSET($A$1, 336 - 1, 58 - 1) = "1" ), 3, 4 ) ) )</f>
        <v>1</v>
      </c>
    </row>
    <row r="337" spans="51:59" x14ac:dyDescent="0.25">
      <c r="AY337" s="7">
        <v>0</v>
      </c>
      <c r="AZ337" s="7" t="str">
        <f>"0"</f>
        <v>0</v>
      </c>
      <c r="BA337" t="str">
        <f ca="1">IF((OFFSET($A$1, 337 - 1, 51 - 1)) &gt;= (OFFSET($A$1, 77 - 1, 7 - 1)), "1","0")</f>
        <v>0</v>
      </c>
      <c r="BB337">
        <f ca="1" xml:space="preserve"> IF( AND( OFFSET($A$1, 337 - 1, 52 - 1) = "1", OFFSET($A$1, 337 - 1, 53 - 1) = "1" ), 1, IF( AND( OFFSET($A$1, 337 - 1, 52 - 1) = "1", OFFSET($A$1, 337 - 1, 53 - 1) = "0" ), 2, IF( AND( OFFSET($A$1, 337 - 1, 52 - 1) = "0", OFFSET($A$1, 337 - 1, 53 - 1) = "1" ), 3, 4 ) ) )</f>
        <v>4</v>
      </c>
      <c r="BD337" s="7">
        <v>0</v>
      </c>
      <c r="BE337" s="7" t="str">
        <f>"0"</f>
        <v>0</v>
      </c>
      <c r="BF337" t="str">
        <f ca="1">IF((OFFSET($A$1, 337 - 1, 56 - 1)) &gt;= (OFFSET($A$1, 101 - 1, 7 - 1)), "1","0")</f>
        <v>0</v>
      </c>
      <c r="BG337">
        <f ca="1" xml:space="preserve"> IF( AND( OFFSET($A$1, 337 - 1, 57 - 1) = "1", OFFSET($A$1, 337 - 1, 58 - 1) = "1" ), 1, IF( AND( OFFSET($A$1, 337 - 1, 57 - 1) = "1", OFFSET($A$1, 337 - 1, 58 - 1) = "0" ), 2, IF( AND( OFFSET($A$1, 337 - 1, 57 - 1) = "0", OFFSET($A$1, 337 - 1, 58 - 1) = "1" ), 3, 4 ) ) )</f>
        <v>4</v>
      </c>
    </row>
    <row r="338" spans="51:59" x14ac:dyDescent="0.25">
      <c r="AY338" s="7">
        <v>0</v>
      </c>
      <c r="AZ338" s="7" t="str">
        <f>"0"</f>
        <v>0</v>
      </c>
      <c r="BA338" t="str">
        <f ca="1">IF((OFFSET($A$1, 338 - 1, 51 - 1)) &gt;= (OFFSET($A$1, 77 - 1, 7 - 1)), "1","0")</f>
        <v>0</v>
      </c>
      <c r="BB338">
        <f ca="1" xml:space="preserve"> IF( AND( OFFSET($A$1, 338 - 1, 52 - 1) = "1", OFFSET($A$1, 338 - 1, 53 - 1) = "1" ), 1, IF( AND( OFFSET($A$1, 338 - 1, 52 - 1) = "1", OFFSET($A$1, 338 - 1, 53 - 1) = "0" ), 2, IF( AND( OFFSET($A$1, 338 - 1, 52 - 1) = "0", OFFSET($A$1, 338 - 1, 53 - 1) = "1" ), 3, 4 ) ) )</f>
        <v>4</v>
      </c>
      <c r="BD338" s="7">
        <v>0</v>
      </c>
      <c r="BE338" s="7" t="str">
        <f>"0"</f>
        <v>0</v>
      </c>
      <c r="BF338" t="str">
        <f ca="1">IF((OFFSET($A$1, 338 - 1, 56 - 1)) &gt;= (OFFSET($A$1, 101 - 1, 7 - 1)), "1","0")</f>
        <v>0</v>
      </c>
      <c r="BG338">
        <f ca="1" xml:space="preserve"> IF( AND( OFFSET($A$1, 338 - 1, 57 - 1) = "1", OFFSET($A$1, 338 - 1, 58 - 1) = "1" ), 1, IF( AND( OFFSET($A$1, 338 - 1, 57 - 1) = "1", OFFSET($A$1, 338 - 1, 58 - 1) = "0" ), 2, IF( AND( OFFSET($A$1, 338 - 1, 57 - 1) = "0", OFFSET($A$1, 338 - 1, 58 - 1) = "1" ), 3, 4 ) ) )</f>
        <v>4</v>
      </c>
    </row>
    <row r="339" spans="51:59" x14ac:dyDescent="0.25">
      <c r="AY339" s="7">
        <v>0.23529411764705882</v>
      </c>
      <c r="AZ339" s="7" t="str">
        <f>"0"</f>
        <v>0</v>
      </c>
      <c r="BA339" t="str">
        <f ca="1">IF((OFFSET($A$1, 339 - 1, 51 - 1)) &gt;= (OFFSET($A$1, 77 - 1, 7 - 1)), "1","0")</f>
        <v>0</v>
      </c>
      <c r="BB339">
        <f ca="1" xml:space="preserve"> IF( AND( OFFSET($A$1, 339 - 1, 52 - 1) = "1", OFFSET($A$1, 339 - 1, 53 - 1) = "1" ), 1, IF( AND( OFFSET($A$1, 339 - 1, 52 - 1) = "1", OFFSET($A$1, 339 - 1, 53 - 1) = "0" ), 2, IF( AND( OFFSET($A$1, 339 - 1, 52 - 1) = "0", OFFSET($A$1, 339 - 1, 53 - 1) = "1" ), 3, 4 ) ) )</f>
        <v>4</v>
      </c>
      <c r="BD339" s="7">
        <v>0.23529411764705882</v>
      </c>
      <c r="BE339" s="7" t="str">
        <f>"0"</f>
        <v>0</v>
      </c>
      <c r="BF339" t="str">
        <f ca="1">IF((OFFSET($A$1, 339 - 1, 56 - 1)) &gt;= (OFFSET($A$1, 101 - 1, 7 - 1)), "1","0")</f>
        <v>0</v>
      </c>
      <c r="BG339">
        <f ca="1" xml:space="preserve"> IF( AND( OFFSET($A$1, 339 - 1, 57 - 1) = "1", OFFSET($A$1, 339 - 1, 58 - 1) = "1" ), 1, IF( AND( OFFSET($A$1, 339 - 1, 57 - 1) = "1", OFFSET($A$1, 339 - 1, 58 - 1) = "0" ), 2, IF( AND( OFFSET($A$1, 339 - 1, 57 - 1) = "0", OFFSET($A$1, 339 - 1, 58 - 1) = "1" ), 3, 4 ) ) )</f>
        <v>4</v>
      </c>
    </row>
    <row r="340" spans="51:59" x14ac:dyDescent="0.25">
      <c r="AY340" s="7">
        <v>1</v>
      </c>
      <c r="AZ340" s="7" t="str">
        <f>"1"</f>
        <v>1</v>
      </c>
      <c r="BA340" t="str">
        <f ca="1">IF((OFFSET($A$1, 340 - 1, 51 - 1)) &gt;= (OFFSET($A$1, 77 - 1, 7 - 1)), "1","0")</f>
        <v>1</v>
      </c>
      <c r="BB340">
        <f ca="1" xml:space="preserve"> IF( AND( OFFSET($A$1, 340 - 1, 52 - 1) = "1", OFFSET($A$1, 340 - 1, 53 - 1) = "1" ), 1, IF( AND( OFFSET($A$1, 340 - 1, 52 - 1) = "1", OFFSET($A$1, 340 - 1, 53 - 1) = "0" ), 2, IF( AND( OFFSET($A$1, 340 - 1, 52 - 1) = "0", OFFSET($A$1, 340 - 1, 53 - 1) = "1" ), 3, 4 ) ) )</f>
        <v>1</v>
      </c>
      <c r="BD340" s="7">
        <v>0.82352941176470584</v>
      </c>
      <c r="BE340" s="7" t="str">
        <f>"1"</f>
        <v>1</v>
      </c>
      <c r="BF340" t="str">
        <f ca="1">IF((OFFSET($A$1, 340 - 1, 56 - 1)) &gt;= (OFFSET($A$1, 101 - 1, 7 - 1)), "1","0")</f>
        <v>1</v>
      </c>
      <c r="BG340">
        <f ca="1" xml:space="preserve"> IF( AND( OFFSET($A$1, 340 - 1, 57 - 1) = "1", OFFSET($A$1, 340 - 1, 58 - 1) = "1" ), 1, IF( AND( OFFSET($A$1, 340 - 1, 57 - 1) = "1", OFFSET($A$1, 340 - 1, 58 - 1) = "0" ), 2, IF( AND( OFFSET($A$1, 340 - 1, 57 - 1) = "0", OFFSET($A$1, 340 - 1, 58 - 1) = "1" ), 3, 4 ) ) )</f>
        <v>1</v>
      </c>
    </row>
    <row r="341" spans="51:59" x14ac:dyDescent="0.25">
      <c r="AY341" s="7">
        <v>0</v>
      </c>
      <c r="AZ341" s="7" t="str">
        <f>"0"</f>
        <v>0</v>
      </c>
      <c r="BA341" t="str">
        <f ca="1">IF((OFFSET($A$1, 341 - 1, 51 - 1)) &gt;= (OFFSET($A$1, 77 - 1, 7 - 1)), "1","0")</f>
        <v>0</v>
      </c>
      <c r="BB341">
        <f ca="1" xml:space="preserve"> IF( AND( OFFSET($A$1, 341 - 1, 52 - 1) = "1", OFFSET($A$1, 341 - 1, 53 - 1) = "1" ), 1, IF( AND( OFFSET($A$1, 341 - 1, 52 - 1) = "1", OFFSET($A$1, 341 - 1, 53 - 1) = "0" ), 2, IF( AND( OFFSET($A$1, 341 - 1, 52 - 1) = "0", OFFSET($A$1, 341 - 1, 53 - 1) = "1" ), 3, 4 ) ) )</f>
        <v>4</v>
      </c>
      <c r="BD341" s="7">
        <v>0</v>
      </c>
      <c r="BE341" s="7" t="str">
        <f>"0"</f>
        <v>0</v>
      </c>
      <c r="BF341" t="str">
        <f ca="1">IF((OFFSET($A$1, 341 - 1, 56 - 1)) &gt;= (OFFSET($A$1, 101 - 1, 7 - 1)), "1","0")</f>
        <v>0</v>
      </c>
      <c r="BG341">
        <f ca="1" xml:space="preserve"> IF( AND( OFFSET($A$1, 341 - 1, 57 - 1) = "1", OFFSET($A$1, 341 - 1, 58 - 1) = "1" ), 1, IF( AND( OFFSET($A$1, 341 - 1, 57 - 1) = "1", OFFSET($A$1, 341 - 1, 58 - 1) = "0" ), 2, IF( AND( OFFSET($A$1, 341 - 1, 57 - 1) = "0", OFFSET($A$1, 341 - 1, 58 - 1) = "1" ), 3, 4 ) ) )</f>
        <v>4</v>
      </c>
    </row>
    <row r="342" spans="51:59" x14ac:dyDescent="0.25">
      <c r="AY342" s="7">
        <v>0</v>
      </c>
      <c r="AZ342" s="7" t="str">
        <f>"0"</f>
        <v>0</v>
      </c>
      <c r="BA342" t="str">
        <f ca="1">IF((OFFSET($A$1, 342 - 1, 51 - 1)) &gt;= (OFFSET($A$1, 77 - 1, 7 - 1)), "1","0")</f>
        <v>0</v>
      </c>
      <c r="BB342">
        <f ca="1" xml:space="preserve"> IF( AND( OFFSET($A$1, 342 - 1, 52 - 1) = "1", OFFSET($A$1, 342 - 1, 53 - 1) = "1" ), 1, IF( AND( OFFSET($A$1, 342 - 1, 52 - 1) = "1", OFFSET($A$1, 342 - 1, 53 - 1) = "0" ), 2, IF( AND( OFFSET($A$1, 342 - 1, 52 - 1) = "0", OFFSET($A$1, 342 - 1, 53 - 1) = "1" ), 3, 4 ) ) )</f>
        <v>4</v>
      </c>
      <c r="BD342" s="7">
        <v>0</v>
      </c>
      <c r="BE342" s="7" t="str">
        <f>"0"</f>
        <v>0</v>
      </c>
      <c r="BF342" t="str">
        <f ca="1">IF((OFFSET($A$1, 342 - 1, 56 - 1)) &gt;= (OFFSET($A$1, 101 - 1, 7 - 1)), "1","0")</f>
        <v>0</v>
      </c>
      <c r="BG342">
        <f ca="1" xml:space="preserve"> IF( AND( OFFSET($A$1, 342 - 1, 57 - 1) = "1", OFFSET($A$1, 342 - 1, 58 - 1) = "1" ), 1, IF( AND( OFFSET($A$1, 342 - 1, 57 - 1) = "1", OFFSET($A$1, 342 - 1, 58 - 1) = "0" ), 2, IF( AND( OFFSET($A$1, 342 - 1, 57 - 1) = "0", OFFSET($A$1, 342 - 1, 58 - 1) = "1" ), 3, 4 ) ) )</f>
        <v>4</v>
      </c>
    </row>
    <row r="343" spans="51:59" x14ac:dyDescent="0.25">
      <c r="AY343" s="7">
        <v>0.70588235294117652</v>
      </c>
      <c r="AZ343" s="7" t="str">
        <f>"0"</f>
        <v>0</v>
      </c>
      <c r="BA343" t="str">
        <f ca="1">IF((OFFSET($A$1, 343 - 1, 51 - 1)) &gt;= (OFFSET($A$1, 77 - 1, 7 - 1)), "1","0")</f>
        <v>1</v>
      </c>
      <c r="BB343">
        <f ca="1" xml:space="preserve"> IF( AND( OFFSET($A$1, 343 - 1, 52 - 1) = "1", OFFSET($A$1, 343 - 1, 53 - 1) = "1" ), 1, IF( AND( OFFSET($A$1, 343 - 1, 52 - 1) = "1", OFFSET($A$1, 343 - 1, 53 - 1) = "0" ), 2, IF( AND( OFFSET($A$1, 343 - 1, 52 - 1) = "0", OFFSET($A$1, 343 - 1, 53 - 1) = "1" ), 3, 4 ) ) )</f>
        <v>3</v>
      </c>
      <c r="BD343" s="7">
        <v>5.8823529411764705E-2</v>
      </c>
      <c r="BE343" s="7" t="str">
        <f>"0"</f>
        <v>0</v>
      </c>
      <c r="BF343" t="str">
        <f ca="1">IF((OFFSET($A$1, 343 - 1, 56 - 1)) &gt;= (OFFSET($A$1, 101 - 1, 7 - 1)), "1","0")</f>
        <v>0</v>
      </c>
      <c r="BG343">
        <f ca="1" xml:space="preserve"> IF( AND( OFFSET($A$1, 343 - 1, 57 - 1) = "1", OFFSET($A$1, 343 - 1, 58 - 1) = "1" ), 1, IF( AND( OFFSET($A$1, 343 - 1, 57 - 1) = "1", OFFSET($A$1, 343 - 1, 58 - 1) = "0" ), 2, IF( AND( OFFSET($A$1, 343 - 1, 57 - 1) = "0", OFFSET($A$1, 343 - 1, 58 - 1) = "1" ), 3, 4 ) ) )</f>
        <v>4</v>
      </c>
    </row>
    <row r="344" spans="51:59" x14ac:dyDescent="0.25">
      <c r="AY344" s="7">
        <v>0</v>
      </c>
      <c r="AZ344" s="7" t="str">
        <f>"0"</f>
        <v>0</v>
      </c>
      <c r="BA344" t="str">
        <f ca="1">IF((OFFSET($A$1, 344 - 1, 51 - 1)) &gt;= (OFFSET($A$1, 77 - 1, 7 - 1)), "1","0")</f>
        <v>0</v>
      </c>
      <c r="BB344">
        <f ca="1" xml:space="preserve"> IF( AND( OFFSET($A$1, 344 - 1, 52 - 1) = "1", OFFSET($A$1, 344 - 1, 53 - 1) = "1" ), 1, IF( AND( OFFSET($A$1, 344 - 1, 52 - 1) = "1", OFFSET($A$1, 344 - 1, 53 - 1) = "0" ), 2, IF( AND( OFFSET($A$1, 344 - 1, 52 - 1) = "0", OFFSET($A$1, 344 - 1, 53 - 1) = "1" ), 3, 4 ) ) )</f>
        <v>4</v>
      </c>
      <c r="BD344" s="7">
        <v>0.88235294117647056</v>
      </c>
      <c r="BE344" s="7" t="str">
        <f>"1"</f>
        <v>1</v>
      </c>
      <c r="BF344" t="str">
        <f ca="1">IF((OFFSET($A$1, 344 - 1, 56 - 1)) &gt;= (OFFSET($A$1, 101 - 1, 7 - 1)), "1","0")</f>
        <v>1</v>
      </c>
      <c r="BG344">
        <f ca="1" xml:space="preserve"> IF( AND( OFFSET($A$1, 344 - 1, 57 - 1) = "1", OFFSET($A$1, 344 - 1, 58 - 1) = "1" ), 1, IF( AND( OFFSET($A$1, 344 - 1, 57 - 1) = "1", OFFSET($A$1, 344 - 1, 58 - 1) = "0" ), 2, IF( AND( OFFSET($A$1, 344 - 1, 57 - 1) = "0", OFFSET($A$1, 344 - 1, 58 - 1) = "1" ), 3, 4 ) ) )</f>
        <v>1</v>
      </c>
    </row>
    <row r="345" spans="51:59" x14ac:dyDescent="0.25">
      <c r="AY345" s="7">
        <v>1</v>
      </c>
      <c r="AZ345" s="7" t="str">
        <f>"1"</f>
        <v>1</v>
      </c>
      <c r="BA345" t="str">
        <f ca="1">IF((OFFSET($A$1, 345 - 1, 51 - 1)) &gt;= (OFFSET($A$1, 77 - 1, 7 - 1)), "1","0")</f>
        <v>1</v>
      </c>
      <c r="BB345">
        <f ca="1" xml:space="preserve"> IF( AND( OFFSET($A$1, 345 - 1, 52 - 1) = "1", OFFSET($A$1, 345 - 1, 53 - 1) = "1" ), 1, IF( AND( OFFSET($A$1, 345 - 1, 52 - 1) = "1", OFFSET($A$1, 345 - 1, 53 - 1) = "0" ), 2, IF( AND( OFFSET($A$1, 345 - 1, 52 - 1) = "0", OFFSET($A$1, 345 - 1, 53 - 1) = "1" ), 3, 4 ) ) )</f>
        <v>1</v>
      </c>
      <c r="BD345" s="7">
        <v>0</v>
      </c>
      <c r="BE345" s="7" t="str">
        <f>"0"</f>
        <v>0</v>
      </c>
      <c r="BF345" t="str">
        <f ca="1">IF((OFFSET($A$1, 345 - 1, 56 - 1)) &gt;= (OFFSET($A$1, 101 - 1, 7 - 1)), "1","0")</f>
        <v>0</v>
      </c>
      <c r="BG345">
        <f ca="1" xml:space="preserve"> IF( AND( OFFSET($A$1, 345 - 1, 57 - 1) = "1", OFFSET($A$1, 345 - 1, 58 - 1) = "1" ), 1, IF( AND( OFFSET($A$1, 345 - 1, 57 - 1) = "1", OFFSET($A$1, 345 - 1, 58 - 1) = "0" ), 2, IF( AND( OFFSET($A$1, 345 - 1, 57 - 1) = "0", OFFSET($A$1, 345 - 1, 58 - 1) = "1" ), 3, 4 ) ) )</f>
        <v>4</v>
      </c>
    </row>
    <row r="346" spans="51:59" x14ac:dyDescent="0.25">
      <c r="AY346" s="7">
        <v>5.8823529411764705E-2</v>
      </c>
      <c r="AZ346" s="7" t="str">
        <f>"0"</f>
        <v>0</v>
      </c>
      <c r="BA346" t="str">
        <f ca="1">IF((OFFSET($A$1, 346 - 1, 51 - 1)) &gt;= (OFFSET($A$1, 77 - 1, 7 - 1)), "1","0")</f>
        <v>0</v>
      </c>
      <c r="BB346">
        <f ca="1" xml:space="preserve"> IF( AND( OFFSET($A$1, 346 - 1, 52 - 1) = "1", OFFSET($A$1, 346 - 1, 53 - 1) = "1" ), 1, IF( AND( OFFSET($A$1, 346 - 1, 52 - 1) = "1", OFFSET($A$1, 346 - 1, 53 - 1) = "0" ), 2, IF( AND( OFFSET($A$1, 346 - 1, 52 - 1) = "0", OFFSET($A$1, 346 - 1, 53 - 1) = "1" ), 3, 4 ) ) )</f>
        <v>4</v>
      </c>
      <c r="BD346" s="7">
        <v>0</v>
      </c>
      <c r="BE346" s="7" t="str">
        <f>"0"</f>
        <v>0</v>
      </c>
      <c r="BF346" t="str">
        <f ca="1">IF((OFFSET($A$1, 346 - 1, 56 - 1)) &gt;= (OFFSET($A$1, 101 - 1, 7 - 1)), "1","0")</f>
        <v>0</v>
      </c>
      <c r="BG346">
        <f ca="1" xml:space="preserve"> IF( AND( OFFSET($A$1, 346 - 1, 57 - 1) = "1", OFFSET($A$1, 346 - 1, 58 - 1) = "1" ), 1, IF( AND( OFFSET($A$1, 346 - 1, 57 - 1) = "1", OFFSET($A$1, 346 - 1, 58 - 1) = "0" ), 2, IF( AND( OFFSET($A$1, 346 - 1, 57 - 1) = "0", OFFSET($A$1, 346 - 1, 58 - 1) = "1" ), 3, 4 ) ) )</f>
        <v>4</v>
      </c>
    </row>
    <row r="347" spans="51:59" x14ac:dyDescent="0.25">
      <c r="AY347" s="7">
        <v>0</v>
      </c>
      <c r="AZ347" s="7" t="str">
        <f>"0"</f>
        <v>0</v>
      </c>
      <c r="BA347" t="str">
        <f ca="1">IF((OFFSET($A$1, 347 - 1, 51 - 1)) &gt;= (OFFSET($A$1, 77 - 1, 7 - 1)), "1","0")</f>
        <v>0</v>
      </c>
      <c r="BB347">
        <f ca="1" xml:space="preserve"> IF( AND( OFFSET($A$1, 347 - 1, 52 - 1) = "1", OFFSET($A$1, 347 - 1, 53 - 1) = "1" ), 1, IF( AND( OFFSET($A$1, 347 - 1, 52 - 1) = "1", OFFSET($A$1, 347 - 1, 53 - 1) = "0" ), 2, IF( AND( OFFSET($A$1, 347 - 1, 52 - 1) = "0", OFFSET($A$1, 347 - 1, 53 - 1) = "1" ), 3, 4 ) ) )</f>
        <v>4</v>
      </c>
      <c r="BD347" s="7">
        <v>0.6470588235294118</v>
      </c>
      <c r="BE347" s="7" t="str">
        <f>"0"</f>
        <v>0</v>
      </c>
      <c r="BF347" t="str">
        <f ca="1">IF((OFFSET($A$1, 347 - 1, 56 - 1)) &gt;= (OFFSET($A$1, 101 - 1, 7 - 1)), "1","0")</f>
        <v>1</v>
      </c>
      <c r="BG347">
        <f ca="1" xml:space="preserve"> IF( AND( OFFSET($A$1, 347 - 1, 57 - 1) = "1", OFFSET($A$1, 347 - 1, 58 - 1) = "1" ), 1, IF( AND( OFFSET($A$1, 347 - 1, 57 - 1) = "1", OFFSET($A$1, 347 - 1, 58 - 1) = "0" ), 2, IF( AND( OFFSET($A$1, 347 - 1, 57 - 1) = "0", OFFSET($A$1, 347 - 1, 58 - 1) = "1" ), 3, 4 ) ) )</f>
        <v>3</v>
      </c>
    </row>
    <row r="348" spans="51:59" x14ac:dyDescent="0.25">
      <c r="AY348" s="7">
        <v>5.8823529411764705E-2</v>
      </c>
      <c r="AZ348" s="7" t="str">
        <f>"0"</f>
        <v>0</v>
      </c>
      <c r="BA348" t="str">
        <f ca="1">IF((OFFSET($A$1, 348 - 1, 51 - 1)) &gt;= (OFFSET($A$1, 77 - 1, 7 - 1)), "1","0")</f>
        <v>0</v>
      </c>
      <c r="BB348">
        <f ca="1" xml:space="preserve"> IF( AND( OFFSET($A$1, 348 - 1, 52 - 1) = "1", OFFSET($A$1, 348 - 1, 53 - 1) = "1" ), 1, IF( AND( OFFSET($A$1, 348 - 1, 52 - 1) = "1", OFFSET($A$1, 348 - 1, 53 - 1) = "0" ), 2, IF( AND( OFFSET($A$1, 348 - 1, 52 - 1) = "0", OFFSET($A$1, 348 - 1, 53 - 1) = "1" ), 3, 4 ) ) )</f>
        <v>4</v>
      </c>
      <c r="BD348" s="7">
        <v>0</v>
      </c>
      <c r="BE348" s="7" t="str">
        <f>"0"</f>
        <v>0</v>
      </c>
      <c r="BF348" t="str">
        <f ca="1">IF((OFFSET($A$1, 348 - 1, 56 - 1)) &gt;= (OFFSET($A$1, 101 - 1, 7 - 1)), "1","0")</f>
        <v>0</v>
      </c>
      <c r="BG348">
        <f ca="1" xml:space="preserve"> IF( AND( OFFSET($A$1, 348 - 1, 57 - 1) = "1", OFFSET($A$1, 348 - 1, 58 - 1) = "1" ), 1, IF( AND( OFFSET($A$1, 348 - 1, 57 - 1) = "1", OFFSET($A$1, 348 - 1, 58 - 1) = "0" ), 2, IF( AND( OFFSET($A$1, 348 - 1, 57 - 1) = "0", OFFSET($A$1, 348 - 1, 58 - 1) = "1" ), 3, 4 ) ) )</f>
        <v>4</v>
      </c>
    </row>
    <row r="349" spans="51:59" x14ac:dyDescent="0.25">
      <c r="AY349" s="7">
        <v>0</v>
      </c>
      <c r="AZ349" s="7" t="str">
        <f>"0"</f>
        <v>0</v>
      </c>
      <c r="BA349" t="str">
        <f ca="1">IF((OFFSET($A$1, 349 - 1, 51 - 1)) &gt;= (OFFSET($A$1, 77 - 1, 7 - 1)), "1","0")</f>
        <v>0</v>
      </c>
      <c r="BB349">
        <f ca="1" xml:space="preserve"> IF( AND( OFFSET($A$1, 349 - 1, 52 - 1) = "1", OFFSET($A$1, 349 - 1, 53 - 1) = "1" ), 1, IF( AND( OFFSET($A$1, 349 - 1, 52 - 1) = "1", OFFSET($A$1, 349 - 1, 53 - 1) = "0" ), 2, IF( AND( OFFSET($A$1, 349 - 1, 52 - 1) = "0", OFFSET($A$1, 349 - 1, 53 - 1) = "1" ), 3, 4 ) ) )</f>
        <v>4</v>
      </c>
      <c r="BD349" s="7">
        <v>0</v>
      </c>
      <c r="BE349" s="7" t="str">
        <f>"0"</f>
        <v>0</v>
      </c>
      <c r="BF349" t="str">
        <f ca="1">IF((OFFSET($A$1, 349 - 1, 56 - 1)) &gt;= (OFFSET($A$1, 101 - 1, 7 - 1)), "1","0")</f>
        <v>0</v>
      </c>
      <c r="BG349">
        <f ca="1" xml:space="preserve"> IF( AND( OFFSET($A$1, 349 - 1, 57 - 1) = "1", OFFSET($A$1, 349 - 1, 58 - 1) = "1" ), 1, IF( AND( OFFSET($A$1, 349 - 1, 57 - 1) = "1", OFFSET($A$1, 349 - 1, 58 - 1) = "0" ), 2, IF( AND( OFFSET($A$1, 349 - 1, 57 - 1) = "0", OFFSET($A$1, 349 - 1, 58 - 1) = "1" ), 3, 4 ) ) )</f>
        <v>4</v>
      </c>
    </row>
    <row r="350" spans="51:59" x14ac:dyDescent="0.25">
      <c r="AY350" s="7">
        <v>0</v>
      </c>
      <c r="AZ350" s="7" t="str">
        <f>"0"</f>
        <v>0</v>
      </c>
      <c r="BA350" t="str">
        <f ca="1">IF((OFFSET($A$1, 350 - 1, 51 - 1)) &gt;= (OFFSET($A$1, 77 - 1, 7 - 1)), "1","0")</f>
        <v>0</v>
      </c>
      <c r="BB350">
        <f ca="1" xml:space="preserve"> IF( AND( OFFSET($A$1, 350 - 1, 52 - 1) = "1", OFFSET($A$1, 350 - 1, 53 - 1) = "1" ), 1, IF( AND( OFFSET($A$1, 350 - 1, 52 - 1) = "1", OFFSET($A$1, 350 - 1, 53 - 1) = "0" ), 2, IF( AND( OFFSET($A$1, 350 - 1, 52 - 1) = "0", OFFSET($A$1, 350 - 1, 53 - 1) = "1" ), 3, 4 ) ) )</f>
        <v>4</v>
      </c>
      <c r="BD350" s="7">
        <v>0</v>
      </c>
      <c r="BE350" s="7" t="str">
        <f>"0"</f>
        <v>0</v>
      </c>
      <c r="BF350" t="str">
        <f ca="1">IF((OFFSET($A$1, 350 - 1, 56 - 1)) &gt;= (OFFSET($A$1, 101 - 1, 7 - 1)), "1","0")</f>
        <v>0</v>
      </c>
      <c r="BG350">
        <f ca="1" xml:space="preserve"> IF( AND( OFFSET($A$1, 350 - 1, 57 - 1) = "1", OFFSET($A$1, 350 - 1, 58 - 1) = "1" ), 1, IF( AND( OFFSET($A$1, 350 - 1, 57 - 1) = "1", OFFSET($A$1, 350 - 1, 58 - 1) = "0" ), 2, IF( AND( OFFSET($A$1, 350 - 1, 57 - 1) = "0", OFFSET($A$1, 350 - 1, 58 - 1) = "1" ), 3, 4 ) ) )</f>
        <v>4</v>
      </c>
    </row>
    <row r="351" spans="51:59" x14ac:dyDescent="0.25">
      <c r="AY351" s="7">
        <v>0</v>
      </c>
      <c r="AZ351" s="7" t="str">
        <f>"0"</f>
        <v>0</v>
      </c>
      <c r="BA351" t="str">
        <f ca="1">IF((OFFSET($A$1, 351 - 1, 51 - 1)) &gt;= (OFFSET($A$1, 77 - 1, 7 - 1)), "1","0")</f>
        <v>0</v>
      </c>
      <c r="BB351">
        <f ca="1" xml:space="preserve"> IF( AND( OFFSET($A$1, 351 - 1, 52 - 1) = "1", OFFSET($A$1, 351 - 1, 53 - 1) = "1" ), 1, IF( AND( OFFSET($A$1, 351 - 1, 52 - 1) = "1", OFFSET($A$1, 351 - 1, 53 - 1) = "0" ), 2, IF( AND( OFFSET($A$1, 351 - 1, 52 - 1) = "0", OFFSET($A$1, 351 - 1, 53 - 1) = "1" ), 3, 4 ) ) )</f>
        <v>4</v>
      </c>
      <c r="BD351" s="7">
        <v>0.17647058823529413</v>
      </c>
      <c r="BE351" s="7" t="str">
        <f>"0"</f>
        <v>0</v>
      </c>
      <c r="BF351" t="str">
        <f ca="1">IF((OFFSET($A$1, 351 - 1, 56 - 1)) &gt;= (OFFSET($A$1, 101 - 1, 7 - 1)), "1","0")</f>
        <v>0</v>
      </c>
      <c r="BG351">
        <f ca="1" xml:space="preserve"> IF( AND( OFFSET($A$1, 351 - 1, 57 - 1) = "1", OFFSET($A$1, 351 - 1, 58 - 1) = "1" ), 1, IF( AND( OFFSET($A$1, 351 - 1, 57 - 1) = "1", OFFSET($A$1, 351 - 1, 58 - 1) = "0" ), 2, IF( AND( OFFSET($A$1, 351 - 1, 57 - 1) = "0", OFFSET($A$1, 351 - 1, 58 - 1) = "1" ), 3, 4 ) ) )</f>
        <v>4</v>
      </c>
    </row>
    <row r="352" spans="51:59" x14ac:dyDescent="0.25">
      <c r="AY352" s="7">
        <v>0</v>
      </c>
      <c r="AZ352" s="7" t="str">
        <f>"0"</f>
        <v>0</v>
      </c>
      <c r="BA352" t="str">
        <f ca="1">IF((OFFSET($A$1, 352 - 1, 51 - 1)) &gt;= (OFFSET($A$1, 77 - 1, 7 - 1)), "1","0")</f>
        <v>0</v>
      </c>
      <c r="BB352">
        <f ca="1" xml:space="preserve"> IF( AND( OFFSET($A$1, 352 - 1, 52 - 1) = "1", OFFSET($A$1, 352 - 1, 53 - 1) = "1" ), 1, IF( AND( OFFSET($A$1, 352 - 1, 52 - 1) = "1", OFFSET($A$1, 352 - 1, 53 - 1) = "0" ), 2, IF( AND( OFFSET($A$1, 352 - 1, 52 - 1) = "0", OFFSET($A$1, 352 - 1, 53 - 1) = "1" ), 3, 4 ) ) )</f>
        <v>4</v>
      </c>
      <c r="BD352" s="7">
        <v>5.8823529411764705E-2</v>
      </c>
      <c r="BE352" s="7" t="str">
        <f>"0"</f>
        <v>0</v>
      </c>
      <c r="BF352" t="str">
        <f ca="1">IF((OFFSET($A$1, 352 - 1, 56 - 1)) &gt;= (OFFSET($A$1, 101 - 1, 7 - 1)), "1","0")</f>
        <v>0</v>
      </c>
      <c r="BG352">
        <f ca="1" xml:space="preserve"> IF( AND( OFFSET($A$1, 352 - 1, 57 - 1) = "1", OFFSET($A$1, 352 - 1, 58 - 1) = "1" ), 1, IF( AND( OFFSET($A$1, 352 - 1, 57 - 1) = "1", OFFSET($A$1, 352 - 1, 58 - 1) = "0" ), 2, IF( AND( OFFSET($A$1, 352 - 1, 57 - 1) = "0", OFFSET($A$1, 352 - 1, 58 - 1) = "1" ), 3, 4 ) ) )</f>
        <v>4</v>
      </c>
    </row>
    <row r="353" spans="51:59" x14ac:dyDescent="0.25">
      <c r="AY353" s="7">
        <v>0.41176470588235292</v>
      </c>
      <c r="AZ353" s="7" t="str">
        <f>"0"</f>
        <v>0</v>
      </c>
      <c r="BA353" t="str">
        <f ca="1">IF((OFFSET($A$1, 353 - 1, 51 - 1)) &gt;= (OFFSET($A$1, 77 - 1, 7 - 1)), "1","0")</f>
        <v>0</v>
      </c>
      <c r="BB353">
        <f ca="1" xml:space="preserve"> IF( AND( OFFSET($A$1, 353 - 1, 52 - 1) = "1", OFFSET($A$1, 353 - 1, 53 - 1) = "1" ), 1, IF( AND( OFFSET($A$1, 353 - 1, 52 - 1) = "1", OFFSET($A$1, 353 - 1, 53 - 1) = "0" ), 2, IF( AND( OFFSET($A$1, 353 - 1, 52 - 1) = "0", OFFSET($A$1, 353 - 1, 53 - 1) = "1" ), 3, 4 ) ) )</f>
        <v>4</v>
      </c>
      <c r="BD353" s="7">
        <v>0.82352941176470584</v>
      </c>
      <c r="BE353" s="7" t="str">
        <f>"1"</f>
        <v>1</v>
      </c>
      <c r="BF353" t="str">
        <f ca="1">IF((OFFSET($A$1, 353 - 1, 56 - 1)) &gt;= (OFFSET($A$1, 101 - 1, 7 - 1)), "1","0")</f>
        <v>1</v>
      </c>
      <c r="BG353">
        <f ca="1" xml:space="preserve"> IF( AND( OFFSET($A$1, 353 - 1, 57 - 1) = "1", OFFSET($A$1, 353 - 1, 58 - 1) = "1" ), 1, IF( AND( OFFSET($A$1, 353 - 1, 57 - 1) = "1", OFFSET($A$1, 353 - 1, 58 - 1) = "0" ), 2, IF( AND( OFFSET($A$1, 353 - 1, 57 - 1) = "0", OFFSET($A$1, 353 - 1, 58 - 1) = "1" ), 3, 4 ) ) )</f>
        <v>1</v>
      </c>
    </row>
    <row r="354" spans="51:59" x14ac:dyDescent="0.25">
      <c r="AY354" s="7">
        <v>5.8823529411764705E-2</v>
      </c>
      <c r="AZ354" s="7" t="str">
        <f>"0"</f>
        <v>0</v>
      </c>
      <c r="BA354" t="str">
        <f ca="1">IF((OFFSET($A$1, 354 - 1, 51 - 1)) &gt;= (OFFSET($A$1, 77 - 1, 7 - 1)), "1","0")</f>
        <v>0</v>
      </c>
      <c r="BB354">
        <f ca="1" xml:space="preserve"> IF( AND( OFFSET($A$1, 354 - 1, 52 - 1) = "1", OFFSET($A$1, 354 - 1, 53 - 1) = "1" ), 1, IF( AND( OFFSET($A$1, 354 - 1, 52 - 1) = "1", OFFSET($A$1, 354 - 1, 53 - 1) = "0" ), 2, IF( AND( OFFSET($A$1, 354 - 1, 52 - 1) = "0", OFFSET($A$1, 354 - 1, 53 - 1) = "1" ), 3, 4 ) ) )</f>
        <v>4</v>
      </c>
      <c r="BD354" s="7">
        <v>0</v>
      </c>
      <c r="BE354" s="7" t="str">
        <f>"0"</f>
        <v>0</v>
      </c>
      <c r="BF354" t="str">
        <f ca="1">IF((OFFSET($A$1, 354 - 1, 56 - 1)) &gt;= (OFFSET($A$1, 101 - 1, 7 - 1)), "1","0")</f>
        <v>0</v>
      </c>
      <c r="BG354">
        <f ca="1" xml:space="preserve"> IF( AND( OFFSET($A$1, 354 - 1, 57 - 1) = "1", OFFSET($A$1, 354 - 1, 58 - 1) = "1" ), 1, IF( AND( OFFSET($A$1, 354 - 1, 57 - 1) = "1", OFFSET($A$1, 354 - 1, 58 - 1) = "0" ), 2, IF( AND( OFFSET($A$1, 354 - 1, 57 - 1) = "0", OFFSET($A$1, 354 - 1, 58 - 1) = "1" ), 3, 4 ) ) )</f>
        <v>4</v>
      </c>
    </row>
    <row r="355" spans="51:59" x14ac:dyDescent="0.25">
      <c r="AY355" s="7">
        <v>0.23529411764705882</v>
      </c>
      <c r="AZ355" s="7" t="str">
        <f>"0"</f>
        <v>0</v>
      </c>
      <c r="BA355" t="str">
        <f ca="1">IF((OFFSET($A$1, 355 - 1, 51 - 1)) &gt;= (OFFSET($A$1, 77 - 1, 7 - 1)), "1","0")</f>
        <v>0</v>
      </c>
      <c r="BB355">
        <f ca="1" xml:space="preserve"> IF( AND( OFFSET($A$1, 355 - 1, 52 - 1) = "1", OFFSET($A$1, 355 - 1, 53 - 1) = "1" ), 1, IF( AND( OFFSET($A$1, 355 - 1, 52 - 1) = "1", OFFSET($A$1, 355 - 1, 53 - 1) = "0" ), 2, IF( AND( OFFSET($A$1, 355 - 1, 52 - 1) = "0", OFFSET($A$1, 355 - 1, 53 - 1) = "1" ), 3, 4 ) ) )</f>
        <v>4</v>
      </c>
      <c r="BD355" s="7">
        <v>0.82352941176470584</v>
      </c>
      <c r="BE355" s="7" t="str">
        <f>"0"</f>
        <v>0</v>
      </c>
      <c r="BF355" t="str">
        <f ca="1">IF((OFFSET($A$1, 355 - 1, 56 - 1)) &gt;= (OFFSET($A$1, 101 - 1, 7 - 1)), "1","0")</f>
        <v>1</v>
      </c>
      <c r="BG355">
        <f ca="1" xml:space="preserve"> IF( AND( OFFSET($A$1, 355 - 1, 57 - 1) = "1", OFFSET($A$1, 355 - 1, 58 - 1) = "1" ), 1, IF( AND( OFFSET($A$1, 355 - 1, 57 - 1) = "1", OFFSET($A$1, 355 - 1, 58 - 1) = "0" ), 2, IF( AND( OFFSET($A$1, 355 - 1, 57 - 1) = "0", OFFSET($A$1, 355 - 1, 58 - 1) = "1" ), 3, 4 ) ) )</f>
        <v>3</v>
      </c>
    </row>
    <row r="356" spans="51:59" x14ac:dyDescent="0.25">
      <c r="AY356" s="7">
        <v>0</v>
      </c>
      <c r="AZ356" s="7" t="str">
        <f>"0"</f>
        <v>0</v>
      </c>
      <c r="BA356" t="str">
        <f ca="1">IF((OFFSET($A$1, 356 - 1, 51 - 1)) &gt;= (OFFSET($A$1, 77 - 1, 7 - 1)), "1","0")</f>
        <v>0</v>
      </c>
      <c r="BB356">
        <f ca="1" xml:space="preserve"> IF( AND( OFFSET($A$1, 356 - 1, 52 - 1) = "1", OFFSET($A$1, 356 - 1, 53 - 1) = "1" ), 1, IF( AND( OFFSET($A$1, 356 - 1, 52 - 1) = "1", OFFSET($A$1, 356 - 1, 53 - 1) = "0" ), 2, IF( AND( OFFSET($A$1, 356 - 1, 52 - 1) = "0", OFFSET($A$1, 356 - 1, 53 - 1) = "1" ), 3, 4 ) ) )</f>
        <v>4</v>
      </c>
      <c r="BD356" s="7">
        <v>0</v>
      </c>
      <c r="BE356" s="7" t="str">
        <f>"0"</f>
        <v>0</v>
      </c>
      <c r="BF356" t="str">
        <f ca="1">IF((OFFSET($A$1, 356 - 1, 56 - 1)) &gt;= (OFFSET($A$1, 101 - 1, 7 - 1)), "1","0")</f>
        <v>0</v>
      </c>
      <c r="BG356">
        <f ca="1" xml:space="preserve"> IF( AND( OFFSET($A$1, 356 - 1, 57 - 1) = "1", OFFSET($A$1, 356 - 1, 58 - 1) = "1" ), 1, IF( AND( OFFSET($A$1, 356 - 1, 57 - 1) = "1", OFFSET($A$1, 356 - 1, 58 - 1) = "0" ), 2, IF( AND( OFFSET($A$1, 356 - 1, 57 - 1) = "0", OFFSET($A$1, 356 - 1, 58 - 1) = "1" ), 3, 4 ) ) )</f>
        <v>4</v>
      </c>
    </row>
    <row r="357" spans="51:59" x14ac:dyDescent="0.25">
      <c r="AY357" s="7">
        <v>1</v>
      </c>
      <c r="AZ357" s="7" t="str">
        <f>"1"</f>
        <v>1</v>
      </c>
      <c r="BA357" t="str">
        <f ca="1">IF((OFFSET($A$1, 357 - 1, 51 - 1)) &gt;= (OFFSET($A$1, 77 - 1, 7 - 1)), "1","0")</f>
        <v>1</v>
      </c>
      <c r="BB357">
        <f ca="1" xml:space="preserve"> IF( AND( OFFSET($A$1, 357 - 1, 52 - 1) = "1", OFFSET($A$1, 357 - 1, 53 - 1) = "1" ), 1, IF( AND( OFFSET($A$1, 357 - 1, 52 - 1) = "1", OFFSET($A$1, 357 - 1, 53 - 1) = "0" ), 2, IF( AND( OFFSET($A$1, 357 - 1, 52 - 1) = "0", OFFSET($A$1, 357 - 1, 53 - 1) = "1" ), 3, 4 ) ) )</f>
        <v>1</v>
      </c>
      <c r="BD357" s="7">
        <v>0</v>
      </c>
      <c r="BE357" s="7" t="str">
        <f>"0"</f>
        <v>0</v>
      </c>
      <c r="BF357" t="str">
        <f ca="1">IF((OFFSET($A$1, 357 - 1, 56 - 1)) &gt;= (OFFSET($A$1, 101 - 1, 7 - 1)), "1","0")</f>
        <v>0</v>
      </c>
      <c r="BG357">
        <f ca="1" xml:space="preserve"> IF( AND( OFFSET($A$1, 357 - 1, 57 - 1) = "1", OFFSET($A$1, 357 - 1, 58 - 1) = "1" ), 1, IF( AND( OFFSET($A$1, 357 - 1, 57 - 1) = "1", OFFSET($A$1, 357 - 1, 58 - 1) = "0" ), 2, IF( AND( OFFSET($A$1, 357 - 1, 57 - 1) = "0", OFFSET($A$1, 357 - 1, 58 - 1) = "1" ), 3, 4 ) ) )</f>
        <v>4</v>
      </c>
    </row>
    <row r="358" spans="51:59" x14ac:dyDescent="0.25">
      <c r="AY358" s="7">
        <v>0</v>
      </c>
      <c r="AZ358" s="7" t="str">
        <f>"0"</f>
        <v>0</v>
      </c>
      <c r="BA358" t="str">
        <f ca="1">IF((OFFSET($A$1, 358 - 1, 51 - 1)) &gt;= (OFFSET($A$1, 77 - 1, 7 - 1)), "1","0")</f>
        <v>0</v>
      </c>
      <c r="BB358">
        <f ca="1" xml:space="preserve"> IF( AND( OFFSET($A$1, 358 - 1, 52 - 1) = "1", OFFSET($A$1, 358 - 1, 53 - 1) = "1" ), 1, IF( AND( OFFSET($A$1, 358 - 1, 52 - 1) = "1", OFFSET($A$1, 358 - 1, 53 - 1) = "0" ), 2, IF( AND( OFFSET($A$1, 358 - 1, 52 - 1) = "0", OFFSET($A$1, 358 - 1, 53 - 1) = "1" ), 3, 4 ) ) )</f>
        <v>4</v>
      </c>
      <c r="BD358" s="7">
        <v>0.82352941176470584</v>
      </c>
      <c r="BE358" s="7" t="str">
        <f>"1"</f>
        <v>1</v>
      </c>
      <c r="BF358" t="str">
        <f ca="1">IF((OFFSET($A$1, 358 - 1, 56 - 1)) &gt;= (OFFSET($A$1, 101 - 1, 7 - 1)), "1","0")</f>
        <v>1</v>
      </c>
      <c r="BG358">
        <f ca="1" xml:space="preserve"> IF( AND( OFFSET($A$1, 358 - 1, 57 - 1) = "1", OFFSET($A$1, 358 - 1, 58 - 1) = "1" ), 1, IF( AND( OFFSET($A$1, 358 - 1, 57 - 1) = "1", OFFSET($A$1, 358 - 1, 58 - 1) = "0" ), 2, IF( AND( OFFSET($A$1, 358 - 1, 57 - 1) = "0", OFFSET($A$1, 358 - 1, 58 - 1) = "1" ), 3, 4 ) ) )</f>
        <v>1</v>
      </c>
    </row>
    <row r="359" spans="51:59" x14ac:dyDescent="0.25">
      <c r="AY359" s="7">
        <v>0</v>
      </c>
      <c r="AZ359" s="7" t="str">
        <f>"0"</f>
        <v>0</v>
      </c>
      <c r="BA359" t="str">
        <f ca="1">IF((OFFSET($A$1, 359 - 1, 51 - 1)) &gt;= (OFFSET($A$1, 77 - 1, 7 - 1)), "1","0")</f>
        <v>0</v>
      </c>
      <c r="BB359">
        <f ca="1" xml:space="preserve"> IF( AND( OFFSET($A$1, 359 - 1, 52 - 1) = "1", OFFSET($A$1, 359 - 1, 53 - 1) = "1" ), 1, IF( AND( OFFSET($A$1, 359 - 1, 52 - 1) = "1", OFFSET($A$1, 359 - 1, 53 - 1) = "0" ), 2, IF( AND( OFFSET($A$1, 359 - 1, 52 - 1) = "0", OFFSET($A$1, 359 - 1, 53 - 1) = "1" ), 3, 4 ) ) )</f>
        <v>4</v>
      </c>
      <c r="BD359" s="7">
        <v>0.82352941176470584</v>
      </c>
      <c r="BE359" s="7" t="str">
        <f>"1"</f>
        <v>1</v>
      </c>
      <c r="BF359" t="str">
        <f ca="1">IF((OFFSET($A$1, 359 - 1, 56 - 1)) &gt;= (OFFSET($A$1, 101 - 1, 7 - 1)), "1","0")</f>
        <v>1</v>
      </c>
      <c r="BG359">
        <f ca="1" xml:space="preserve"> IF( AND( OFFSET($A$1, 359 - 1, 57 - 1) = "1", OFFSET($A$1, 359 - 1, 58 - 1) = "1" ), 1, IF( AND( OFFSET($A$1, 359 - 1, 57 - 1) = "1", OFFSET($A$1, 359 - 1, 58 - 1) = "0" ), 2, IF( AND( OFFSET($A$1, 359 - 1, 57 - 1) = "0", OFFSET($A$1, 359 - 1, 58 - 1) = "1" ), 3, 4 ) ) )</f>
        <v>1</v>
      </c>
    </row>
    <row r="360" spans="51:59" x14ac:dyDescent="0.25">
      <c r="AY360" s="7">
        <v>5.8823529411764705E-2</v>
      </c>
      <c r="AZ360" s="7" t="str">
        <f>"0"</f>
        <v>0</v>
      </c>
      <c r="BA360" t="str">
        <f ca="1">IF((OFFSET($A$1, 360 - 1, 51 - 1)) &gt;= (OFFSET($A$1, 77 - 1, 7 - 1)), "1","0")</f>
        <v>0</v>
      </c>
      <c r="BB360">
        <f ca="1" xml:space="preserve"> IF( AND( OFFSET($A$1, 360 - 1, 52 - 1) = "1", OFFSET($A$1, 360 - 1, 53 - 1) = "1" ), 1, IF( AND( OFFSET($A$1, 360 - 1, 52 - 1) = "1", OFFSET($A$1, 360 - 1, 53 - 1) = "0" ), 2, IF( AND( OFFSET($A$1, 360 - 1, 52 - 1) = "0", OFFSET($A$1, 360 - 1, 53 - 1) = "1" ), 3, 4 ) ) )</f>
        <v>4</v>
      </c>
      <c r="BD360" s="7">
        <v>0</v>
      </c>
      <c r="BE360" s="7" t="str">
        <f>"0"</f>
        <v>0</v>
      </c>
      <c r="BF360" t="str">
        <f ca="1">IF((OFFSET($A$1, 360 - 1, 56 - 1)) &gt;= (OFFSET($A$1, 101 - 1, 7 - 1)), "1","0")</f>
        <v>0</v>
      </c>
      <c r="BG360">
        <f ca="1" xml:space="preserve"> IF( AND( OFFSET($A$1, 360 - 1, 57 - 1) = "1", OFFSET($A$1, 360 - 1, 58 - 1) = "1" ), 1, IF( AND( OFFSET($A$1, 360 - 1, 57 - 1) = "1", OFFSET($A$1, 360 - 1, 58 - 1) = "0" ), 2, IF( AND( OFFSET($A$1, 360 - 1, 57 - 1) = "0", OFFSET($A$1, 360 - 1, 58 - 1) = "1" ), 3, 4 ) ) )</f>
        <v>4</v>
      </c>
    </row>
    <row r="361" spans="51:59" x14ac:dyDescent="0.25">
      <c r="AY361" s="7">
        <v>0.70588235294117652</v>
      </c>
      <c r="AZ361" s="7" t="str">
        <f>"1"</f>
        <v>1</v>
      </c>
      <c r="BA361" t="str">
        <f ca="1">IF((OFFSET($A$1, 361 - 1, 51 - 1)) &gt;= (OFFSET($A$1, 77 - 1, 7 - 1)), "1","0")</f>
        <v>1</v>
      </c>
      <c r="BB361">
        <f ca="1" xml:space="preserve"> IF( AND( OFFSET($A$1, 361 - 1, 52 - 1) = "1", OFFSET($A$1, 361 - 1, 53 - 1) = "1" ), 1, IF( AND( OFFSET($A$1, 361 - 1, 52 - 1) = "1", OFFSET($A$1, 361 - 1, 53 - 1) = "0" ), 2, IF( AND( OFFSET($A$1, 361 - 1, 52 - 1) = "0", OFFSET($A$1, 361 - 1, 53 - 1) = "1" ), 3, 4 ) ) )</f>
        <v>1</v>
      </c>
      <c r="BD361" s="7">
        <v>0</v>
      </c>
      <c r="BE361" s="7" t="str">
        <f>"0"</f>
        <v>0</v>
      </c>
      <c r="BF361" t="str">
        <f ca="1">IF((OFFSET($A$1, 361 - 1, 56 - 1)) &gt;= (OFFSET($A$1, 101 - 1, 7 - 1)), "1","0")</f>
        <v>0</v>
      </c>
      <c r="BG361">
        <f ca="1" xml:space="preserve"> IF( AND( OFFSET($A$1, 361 - 1, 57 - 1) = "1", OFFSET($A$1, 361 - 1, 58 - 1) = "1" ), 1, IF( AND( OFFSET($A$1, 361 - 1, 57 - 1) = "1", OFFSET($A$1, 361 - 1, 58 - 1) = "0" ), 2, IF( AND( OFFSET($A$1, 361 - 1, 57 - 1) = "0", OFFSET($A$1, 361 - 1, 58 - 1) = "1" ), 3, 4 ) ) )</f>
        <v>4</v>
      </c>
    </row>
    <row r="362" spans="51:59" x14ac:dyDescent="0.25">
      <c r="AY362" s="7">
        <v>1</v>
      </c>
      <c r="AZ362" s="7" t="str">
        <f>"1"</f>
        <v>1</v>
      </c>
      <c r="BA362" t="str">
        <f ca="1">IF((OFFSET($A$1, 362 - 1, 51 - 1)) &gt;= (OFFSET($A$1, 77 - 1, 7 - 1)), "1","0")</f>
        <v>1</v>
      </c>
      <c r="BB362">
        <f ca="1" xml:space="preserve"> IF( AND( OFFSET($A$1, 362 - 1, 52 - 1) = "1", OFFSET($A$1, 362 - 1, 53 - 1) = "1" ), 1, IF( AND( OFFSET($A$1, 362 - 1, 52 - 1) = "1", OFFSET($A$1, 362 - 1, 53 - 1) = "0" ), 2, IF( AND( OFFSET($A$1, 362 - 1, 52 - 1) = "0", OFFSET($A$1, 362 - 1, 53 - 1) = "1" ), 3, 4 ) ) )</f>
        <v>1</v>
      </c>
      <c r="BD362" s="7">
        <v>0.23529411764705882</v>
      </c>
      <c r="BE362" s="7" t="str">
        <f>"0"</f>
        <v>0</v>
      </c>
      <c r="BF362" t="str">
        <f ca="1">IF((OFFSET($A$1, 362 - 1, 56 - 1)) &gt;= (OFFSET($A$1, 101 - 1, 7 - 1)), "1","0")</f>
        <v>0</v>
      </c>
      <c r="BG362">
        <f ca="1" xml:space="preserve"> IF( AND( OFFSET($A$1, 362 - 1, 57 - 1) = "1", OFFSET($A$1, 362 - 1, 58 - 1) = "1" ), 1, IF( AND( OFFSET($A$1, 362 - 1, 57 - 1) = "1", OFFSET($A$1, 362 - 1, 58 - 1) = "0" ), 2, IF( AND( OFFSET($A$1, 362 - 1, 57 - 1) = "0", OFFSET($A$1, 362 - 1, 58 - 1) = "1" ), 3, 4 ) ) )</f>
        <v>4</v>
      </c>
    </row>
    <row r="363" spans="51:59" x14ac:dyDescent="0.25">
      <c r="AY363" s="7">
        <v>0.17647058823529413</v>
      </c>
      <c r="AZ363" s="7" t="str">
        <f>"0"</f>
        <v>0</v>
      </c>
      <c r="BA363" t="str">
        <f ca="1">IF((OFFSET($A$1, 363 - 1, 51 - 1)) &gt;= (OFFSET($A$1, 77 - 1, 7 - 1)), "1","0")</f>
        <v>0</v>
      </c>
      <c r="BB363">
        <f ca="1" xml:space="preserve"> IF( AND( OFFSET($A$1, 363 - 1, 52 - 1) = "1", OFFSET($A$1, 363 - 1, 53 - 1) = "1" ), 1, IF( AND( OFFSET($A$1, 363 - 1, 52 - 1) = "1", OFFSET($A$1, 363 - 1, 53 - 1) = "0" ), 2, IF( AND( OFFSET($A$1, 363 - 1, 52 - 1) = "0", OFFSET($A$1, 363 - 1, 53 - 1) = "1" ), 3, 4 ) ) )</f>
        <v>4</v>
      </c>
      <c r="BD363" s="7">
        <v>0.88235294117647056</v>
      </c>
      <c r="BE363" s="7" t="str">
        <f>"1"</f>
        <v>1</v>
      </c>
      <c r="BF363" t="str">
        <f ca="1">IF((OFFSET($A$1, 363 - 1, 56 - 1)) &gt;= (OFFSET($A$1, 101 - 1, 7 - 1)), "1","0")</f>
        <v>1</v>
      </c>
      <c r="BG363">
        <f ca="1" xml:space="preserve"> IF( AND( OFFSET($A$1, 363 - 1, 57 - 1) = "1", OFFSET($A$1, 363 - 1, 58 - 1) = "1" ), 1, IF( AND( OFFSET($A$1, 363 - 1, 57 - 1) = "1", OFFSET($A$1, 363 - 1, 58 - 1) = "0" ), 2, IF( AND( OFFSET($A$1, 363 - 1, 57 - 1) = "0", OFFSET($A$1, 363 - 1, 58 - 1) = "1" ), 3, 4 ) ) )</f>
        <v>1</v>
      </c>
    </row>
    <row r="364" spans="51:59" x14ac:dyDescent="0.25">
      <c r="AY364" s="7">
        <v>0</v>
      </c>
      <c r="AZ364" s="7" t="str">
        <f>"0"</f>
        <v>0</v>
      </c>
      <c r="BA364" t="str">
        <f ca="1">IF((OFFSET($A$1, 364 - 1, 51 - 1)) &gt;= (OFFSET($A$1, 77 - 1, 7 - 1)), "1","0")</f>
        <v>0</v>
      </c>
      <c r="BB364">
        <f ca="1" xml:space="preserve"> IF( AND( OFFSET($A$1, 364 - 1, 52 - 1) = "1", OFFSET($A$1, 364 - 1, 53 - 1) = "1" ), 1, IF( AND( OFFSET($A$1, 364 - 1, 52 - 1) = "1", OFFSET($A$1, 364 - 1, 53 - 1) = "0" ), 2, IF( AND( OFFSET($A$1, 364 - 1, 52 - 1) = "0", OFFSET($A$1, 364 - 1, 53 - 1) = "1" ), 3, 4 ) ) )</f>
        <v>4</v>
      </c>
      <c r="BD364" s="7">
        <v>0</v>
      </c>
      <c r="BE364" s="7" t="str">
        <f>"0"</f>
        <v>0</v>
      </c>
      <c r="BF364" t="str">
        <f ca="1">IF((OFFSET($A$1, 364 - 1, 56 - 1)) &gt;= (OFFSET($A$1, 101 - 1, 7 - 1)), "1","0")</f>
        <v>0</v>
      </c>
      <c r="BG364">
        <f ca="1" xml:space="preserve"> IF( AND( OFFSET($A$1, 364 - 1, 57 - 1) = "1", OFFSET($A$1, 364 - 1, 58 - 1) = "1" ), 1, IF( AND( OFFSET($A$1, 364 - 1, 57 - 1) = "1", OFFSET($A$1, 364 - 1, 58 - 1) = "0" ), 2, IF( AND( OFFSET($A$1, 364 - 1, 57 - 1) = "0", OFFSET($A$1, 364 - 1, 58 - 1) = "1" ), 3, 4 ) ) )</f>
        <v>4</v>
      </c>
    </row>
    <row r="365" spans="51:59" x14ac:dyDescent="0.25">
      <c r="AY365" s="7">
        <v>1</v>
      </c>
      <c r="AZ365" s="7" t="str">
        <f>"1"</f>
        <v>1</v>
      </c>
      <c r="BA365" t="str">
        <f ca="1">IF((OFFSET($A$1, 365 - 1, 51 - 1)) &gt;= (OFFSET($A$1, 77 - 1, 7 - 1)), "1","0")</f>
        <v>1</v>
      </c>
      <c r="BB365">
        <f ca="1" xml:space="preserve"> IF( AND( OFFSET($A$1, 365 - 1, 52 - 1) = "1", OFFSET($A$1, 365 - 1, 53 - 1) = "1" ), 1, IF( AND( OFFSET($A$1, 365 - 1, 52 - 1) = "1", OFFSET($A$1, 365 - 1, 53 - 1) = "0" ), 2, IF( AND( OFFSET($A$1, 365 - 1, 52 - 1) = "0", OFFSET($A$1, 365 - 1, 53 - 1) = "1" ), 3, 4 ) ) )</f>
        <v>1</v>
      </c>
      <c r="BD365" s="7">
        <v>5.8823529411764705E-2</v>
      </c>
      <c r="BE365" s="7" t="str">
        <f>"0"</f>
        <v>0</v>
      </c>
      <c r="BF365" t="str">
        <f ca="1">IF((OFFSET($A$1, 365 - 1, 56 - 1)) &gt;= (OFFSET($A$1, 101 - 1, 7 - 1)), "1","0")</f>
        <v>0</v>
      </c>
      <c r="BG365">
        <f ca="1" xml:space="preserve"> IF( AND( OFFSET($A$1, 365 - 1, 57 - 1) = "1", OFFSET($A$1, 365 - 1, 58 - 1) = "1" ), 1, IF( AND( OFFSET($A$1, 365 - 1, 57 - 1) = "1", OFFSET($A$1, 365 - 1, 58 - 1) = "0" ), 2, IF( AND( OFFSET($A$1, 365 - 1, 57 - 1) = "0", OFFSET($A$1, 365 - 1, 58 - 1) = "1" ), 3, 4 ) ) )</f>
        <v>4</v>
      </c>
    </row>
    <row r="366" spans="51:59" x14ac:dyDescent="0.25">
      <c r="AY366" s="7">
        <v>0.82352941176470584</v>
      </c>
      <c r="AZ366" s="7" t="str">
        <f>"1"</f>
        <v>1</v>
      </c>
      <c r="BA366" t="str">
        <f ca="1">IF((OFFSET($A$1, 366 - 1, 51 - 1)) &gt;= (OFFSET($A$1, 77 - 1, 7 - 1)), "1","0")</f>
        <v>1</v>
      </c>
      <c r="BB366">
        <f ca="1" xml:space="preserve"> IF( AND( OFFSET($A$1, 366 - 1, 52 - 1) = "1", OFFSET($A$1, 366 - 1, 53 - 1) = "1" ), 1, IF( AND( OFFSET($A$1, 366 - 1, 52 - 1) = "1", OFFSET($A$1, 366 - 1, 53 - 1) = "0" ), 2, IF( AND( OFFSET($A$1, 366 - 1, 52 - 1) = "0", OFFSET($A$1, 366 - 1, 53 - 1) = "1" ), 3, 4 ) ) )</f>
        <v>1</v>
      </c>
      <c r="BD366" s="7">
        <v>1</v>
      </c>
      <c r="BE366" s="7" t="str">
        <f>"1"</f>
        <v>1</v>
      </c>
      <c r="BF366" t="str">
        <f ca="1">IF((OFFSET($A$1, 366 - 1, 56 - 1)) &gt;= (OFFSET($A$1, 101 - 1, 7 - 1)), "1","0")</f>
        <v>1</v>
      </c>
      <c r="BG366">
        <f ca="1" xml:space="preserve"> IF( AND( OFFSET($A$1, 366 - 1, 57 - 1) = "1", OFFSET($A$1, 366 - 1, 58 - 1) = "1" ), 1, IF( AND( OFFSET($A$1, 366 - 1, 57 - 1) = "1", OFFSET($A$1, 366 - 1, 58 - 1) = "0" ), 2, IF( AND( OFFSET($A$1, 366 - 1, 57 - 1) = "0", OFFSET($A$1, 366 - 1, 58 - 1) = "1" ), 3, 4 ) ) )</f>
        <v>1</v>
      </c>
    </row>
    <row r="367" spans="51:59" x14ac:dyDescent="0.25">
      <c r="AY367" s="7">
        <v>0.29411764705882354</v>
      </c>
      <c r="AZ367" s="7" t="str">
        <f>"1"</f>
        <v>1</v>
      </c>
      <c r="BA367" t="str">
        <f ca="1">IF((OFFSET($A$1, 367 - 1, 51 - 1)) &gt;= (OFFSET($A$1, 77 - 1, 7 - 1)), "1","0")</f>
        <v>0</v>
      </c>
      <c r="BB367">
        <f ca="1" xml:space="preserve"> IF( AND( OFFSET($A$1, 367 - 1, 52 - 1) = "1", OFFSET($A$1, 367 - 1, 53 - 1) = "1" ), 1, IF( AND( OFFSET($A$1, 367 - 1, 52 - 1) = "1", OFFSET($A$1, 367 - 1, 53 - 1) = "0" ), 2, IF( AND( OFFSET($A$1, 367 - 1, 52 - 1) = "0", OFFSET($A$1, 367 - 1, 53 - 1) = "1" ), 3, 4 ) ) )</f>
        <v>2</v>
      </c>
      <c r="BD367" s="7">
        <v>0.23529411764705882</v>
      </c>
      <c r="BE367" s="7" t="str">
        <f>"0"</f>
        <v>0</v>
      </c>
      <c r="BF367" t="str">
        <f ca="1">IF((OFFSET($A$1, 367 - 1, 56 - 1)) &gt;= (OFFSET($A$1, 101 - 1, 7 - 1)), "1","0")</f>
        <v>0</v>
      </c>
      <c r="BG367">
        <f ca="1" xml:space="preserve"> IF( AND( OFFSET($A$1, 367 - 1, 57 - 1) = "1", OFFSET($A$1, 367 - 1, 58 - 1) = "1" ), 1, IF( AND( OFFSET($A$1, 367 - 1, 57 - 1) = "1", OFFSET($A$1, 367 - 1, 58 - 1) = "0" ), 2, IF( AND( OFFSET($A$1, 367 - 1, 57 - 1) = "0", OFFSET($A$1, 367 - 1, 58 - 1) = "1" ), 3, 4 ) ) )</f>
        <v>4</v>
      </c>
    </row>
    <row r="368" spans="51:59" x14ac:dyDescent="0.25">
      <c r="AY368" s="7">
        <v>0</v>
      </c>
      <c r="AZ368" s="7" t="str">
        <f>"0"</f>
        <v>0</v>
      </c>
      <c r="BA368" t="str">
        <f ca="1">IF((OFFSET($A$1, 368 - 1, 51 - 1)) &gt;= (OFFSET($A$1, 77 - 1, 7 - 1)), "1","0")</f>
        <v>0</v>
      </c>
      <c r="BB368">
        <f ca="1" xml:space="preserve"> IF( AND( OFFSET($A$1, 368 - 1, 52 - 1) = "1", OFFSET($A$1, 368 - 1, 53 - 1) = "1" ), 1, IF( AND( OFFSET($A$1, 368 - 1, 52 - 1) = "1", OFFSET($A$1, 368 - 1, 53 - 1) = "0" ), 2, IF( AND( OFFSET($A$1, 368 - 1, 52 - 1) = "0", OFFSET($A$1, 368 - 1, 53 - 1) = "1" ), 3, 4 ) ) )</f>
        <v>4</v>
      </c>
      <c r="BD368" s="7">
        <v>0.70588235294117652</v>
      </c>
      <c r="BE368" s="7" t="str">
        <f>"1"</f>
        <v>1</v>
      </c>
      <c r="BF368" t="str">
        <f ca="1">IF((OFFSET($A$1, 368 - 1, 56 - 1)) &gt;= (OFFSET($A$1, 101 - 1, 7 - 1)), "1","0")</f>
        <v>1</v>
      </c>
      <c r="BG368">
        <f ca="1" xml:space="preserve"> IF( AND( OFFSET($A$1, 368 - 1, 57 - 1) = "1", OFFSET($A$1, 368 - 1, 58 - 1) = "1" ), 1, IF( AND( OFFSET($A$1, 368 - 1, 57 - 1) = "1", OFFSET($A$1, 368 - 1, 58 - 1) = "0" ), 2, IF( AND( OFFSET($A$1, 368 - 1, 57 - 1) = "0", OFFSET($A$1, 368 - 1, 58 - 1) = "1" ), 3, 4 ) ) )</f>
        <v>1</v>
      </c>
    </row>
    <row r="369" spans="51:59" x14ac:dyDescent="0.25">
      <c r="AY369" s="7">
        <v>1</v>
      </c>
      <c r="AZ369" s="7" t="str">
        <f>"1"</f>
        <v>1</v>
      </c>
      <c r="BA369" t="str">
        <f ca="1">IF((OFFSET($A$1, 369 - 1, 51 - 1)) &gt;= (OFFSET($A$1, 77 - 1, 7 - 1)), "1","0")</f>
        <v>1</v>
      </c>
      <c r="BB369">
        <f ca="1" xml:space="preserve"> IF( AND( OFFSET($A$1, 369 - 1, 52 - 1) = "1", OFFSET($A$1, 369 - 1, 53 - 1) = "1" ), 1, IF( AND( OFFSET($A$1, 369 - 1, 52 - 1) = "1", OFFSET($A$1, 369 - 1, 53 - 1) = "0" ), 2, IF( AND( OFFSET($A$1, 369 - 1, 52 - 1) = "0", OFFSET($A$1, 369 - 1, 53 - 1) = "1" ), 3, 4 ) ) )</f>
        <v>1</v>
      </c>
      <c r="BD369" s="7">
        <v>0</v>
      </c>
      <c r="BE369" s="7" t="str">
        <f>"0"</f>
        <v>0</v>
      </c>
      <c r="BF369" t="str">
        <f ca="1">IF((OFFSET($A$1, 369 - 1, 56 - 1)) &gt;= (OFFSET($A$1, 101 - 1, 7 - 1)), "1","0")</f>
        <v>0</v>
      </c>
      <c r="BG369">
        <f ca="1" xml:space="preserve"> IF( AND( OFFSET($A$1, 369 - 1, 57 - 1) = "1", OFFSET($A$1, 369 - 1, 58 - 1) = "1" ), 1, IF( AND( OFFSET($A$1, 369 - 1, 57 - 1) = "1", OFFSET($A$1, 369 - 1, 58 - 1) = "0" ), 2, IF( AND( OFFSET($A$1, 369 - 1, 57 - 1) = "0", OFFSET($A$1, 369 - 1, 58 - 1) = "1" ), 3, 4 ) ) )</f>
        <v>4</v>
      </c>
    </row>
    <row r="370" spans="51:59" x14ac:dyDescent="0.25">
      <c r="AY370" s="7">
        <v>0</v>
      </c>
      <c r="AZ370" s="7" t="str">
        <f>"0"</f>
        <v>0</v>
      </c>
      <c r="BA370" t="str">
        <f ca="1">IF((OFFSET($A$1, 370 - 1, 51 - 1)) &gt;= (OFFSET($A$1, 77 - 1, 7 - 1)), "1","0")</f>
        <v>0</v>
      </c>
      <c r="BB370">
        <f ca="1" xml:space="preserve"> IF( AND( OFFSET($A$1, 370 - 1, 52 - 1) = "1", OFFSET($A$1, 370 - 1, 53 - 1) = "1" ), 1, IF( AND( OFFSET($A$1, 370 - 1, 52 - 1) = "1", OFFSET($A$1, 370 - 1, 53 - 1) = "0" ), 2, IF( AND( OFFSET($A$1, 370 - 1, 52 - 1) = "0", OFFSET($A$1, 370 - 1, 53 - 1) = "1" ), 3, 4 ) ) )</f>
        <v>4</v>
      </c>
      <c r="BD370" s="7">
        <v>0.23529411764705882</v>
      </c>
      <c r="BE370" s="7" t="str">
        <f>"0"</f>
        <v>0</v>
      </c>
      <c r="BF370" t="str">
        <f ca="1">IF((OFFSET($A$1, 370 - 1, 56 - 1)) &gt;= (OFFSET($A$1, 101 - 1, 7 - 1)), "1","0")</f>
        <v>0</v>
      </c>
      <c r="BG370">
        <f ca="1" xml:space="preserve"> IF( AND( OFFSET($A$1, 370 - 1, 57 - 1) = "1", OFFSET($A$1, 370 - 1, 58 - 1) = "1" ), 1, IF( AND( OFFSET($A$1, 370 - 1, 57 - 1) = "1", OFFSET($A$1, 370 - 1, 58 - 1) = "0" ), 2, IF( AND( OFFSET($A$1, 370 - 1, 57 - 1) = "0", OFFSET($A$1, 370 - 1, 58 - 1) = "1" ), 3, 4 ) ) )</f>
        <v>4</v>
      </c>
    </row>
    <row r="371" spans="51:59" x14ac:dyDescent="0.25">
      <c r="AY371" s="7">
        <v>0.41176470588235292</v>
      </c>
      <c r="AZ371" s="7" t="str">
        <f>"0"</f>
        <v>0</v>
      </c>
      <c r="BA371" t="str">
        <f ca="1">IF((OFFSET($A$1, 371 - 1, 51 - 1)) &gt;= (OFFSET($A$1, 77 - 1, 7 - 1)), "1","0")</f>
        <v>0</v>
      </c>
      <c r="BB371">
        <f ca="1" xml:space="preserve"> IF( AND( OFFSET($A$1, 371 - 1, 52 - 1) = "1", OFFSET($A$1, 371 - 1, 53 - 1) = "1" ), 1, IF( AND( OFFSET($A$1, 371 - 1, 52 - 1) = "1", OFFSET($A$1, 371 - 1, 53 - 1) = "0" ), 2, IF( AND( OFFSET($A$1, 371 - 1, 52 - 1) = "0", OFFSET($A$1, 371 - 1, 53 - 1) = "1" ), 3, 4 ) ) )</f>
        <v>4</v>
      </c>
      <c r="BD371" s="7">
        <v>0</v>
      </c>
      <c r="BE371" s="7" t="str">
        <f>"0"</f>
        <v>0</v>
      </c>
      <c r="BF371" t="str">
        <f ca="1">IF((OFFSET($A$1, 371 - 1, 56 - 1)) &gt;= (OFFSET($A$1, 101 - 1, 7 - 1)), "1","0")</f>
        <v>0</v>
      </c>
      <c r="BG371">
        <f ca="1" xml:space="preserve"> IF( AND( OFFSET($A$1, 371 - 1, 57 - 1) = "1", OFFSET($A$1, 371 - 1, 58 - 1) = "1" ), 1, IF( AND( OFFSET($A$1, 371 - 1, 57 - 1) = "1", OFFSET($A$1, 371 - 1, 58 - 1) = "0" ), 2, IF( AND( OFFSET($A$1, 371 - 1, 57 - 1) = "0", OFFSET($A$1, 371 - 1, 58 - 1) = "1" ), 3, 4 ) ) )</f>
        <v>4</v>
      </c>
    </row>
    <row r="372" spans="51:59" x14ac:dyDescent="0.25">
      <c r="AY372" s="7">
        <v>0</v>
      </c>
      <c r="AZ372" s="7" t="str">
        <f>"0"</f>
        <v>0</v>
      </c>
      <c r="BA372" t="str">
        <f ca="1">IF((OFFSET($A$1, 372 - 1, 51 - 1)) &gt;= (OFFSET($A$1, 77 - 1, 7 - 1)), "1","0")</f>
        <v>0</v>
      </c>
      <c r="BB372">
        <f ca="1" xml:space="preserve"> IF( AND( OFFSET($A$1, 372 - 1, 52 - 1) = "1", OFFSET($A$1, 372 - 1, 53 - 1) = "1" ), 1, IF( AND( OFFSET($A$1, 372 - 1, 52 - 1) = "1", OFFSET($A$1, 372 - 1, 53 - 1) = "0" ), 2, IF( AND( OFFSET($A$1, 372 - 1, 52 - 1) = "0", OFFSET($A$1, 372 - 1, 53 - 1) = "1" ), 3, 4 ) ) )</f>
        <v>4</v>
      </c>
      <c r="BD372" s="7">
        <v>0</v>
      </c>
      <c r="BE372" s="7" t="str">
        <f>"0"</f>
        <v>0</v>
      </c>
      <c r="BF372" t="str">
        <f ca="1">IF((OFFSET($A$1, 372 - 1, 56 - 1)) &gt;= (OFFSET($A$1, 101 - 1, 7 - 1)), "1","0")</f>
        <v>0</v>
      </c>
      <c r="BG372">
        <f ca="1" xml:space="preserve"> IF( AND( OFFSET($A$1, 372 - 1, 57 - 1) = "1", OFFSET($A$1, 372 - 1, 58 - 1) = "1" ), 1, IF( AND( OFFSET($A$1, 372 - 1, 57 - 1) = "1", OFFSET($A$1, 372 - 1, 58 - 1) = "0" ), 2, IF( AND( OFFSET($A$1, 372 - 1, 57 - 1) = "0", OFFSET($A$1, 372 - 1, 58 - 1) = "1" ), 3, 4 ) ) )</f>
        <v>4</v>
      </c>
    </row>
    <row r="373" spans="51:59" x14ac:dyDescent="0.25">
      <c r="AY373" s="7">
        <v>1</v>
      </c>
      <c r="AZ373" s="7" t="str">
        <f>"1"</f>
        <v>1</v>
      </c>
      <c r="BA373" t="str">
        <f ca="1">IF((OFFSET($A$1, 373 - 1, 51 - 1)) &gt;= (OFFSET($A$1, 77 - 1, 7 - 1)), "1","0")</f>
        <v>1</v>
      </c>
      <c r="BB373">
        <f ca="1" xml:space="preserve"> IF( AND( OFFSET($A$1, 373 - 1, 52 - 1) = "1", OFFSET($A$1, 373 - 1, 53 - 1) = "1" ), 1, IF( AND( OFFSET($A$1, 373 - 1, 52 - 1) = "1", OFFSET($A$1, 373 - 1, 53 - 1) = "0" ), 2, IF( AND( OFFSET($A$1, 373 - 1, 52 - 1) = "0", OFFSET($A$1, 373 - 1, 53 - 1) = "1" ), 3, 4 ) ) )</f>
        <v>1</v>
      </c>
      <c r="BD373" s="7">
        <v>0</v>
      </c>
      <c r="BE373" s="7" t="str">
        <f>"0"</f>
        <v>0</v>
      </c>
      <c r="BF373" t="str">
        <f ca="1">IF((OFFSET($A$1, 373 - 1, 56 - 1)) &gt;= (OFFSET($A$1, 101 - 1, 7 - 1)), "1","0")</f>
        <v>0</v>
      </c>
      <c r="BG373">
        <f ca="1" xml:space="preserve"> IF( AND( OFFSET($A$1, 373 - 1, 57 - 1) = "1", OFFSET($A$1, 373 - 1, 58 - 1) = "1" ), 1, IF( AND( OFFSET($A$1, 373 - 1, 57 - 1) = "1", OFFSET($A$1, 373 - 1, 58 - 1) = "0" ), 2, IF( AND( OFFSET($A$1, 373 - 1, 57 - 1) = "0", OFFSET($A$1, 373 - 1, 58 - 1) = "1" ), 3, 4 ) ) )</f>
        <v>4</v>
      </c>
    </row>
    <row r="374" spans="51:59" x14ac:dyDescent="0.25">
      <c r="AY374" s="7">
        <v>0</v>
      </c>
      <c r="AZ374" s="7" t="str">
        <f>"0"</f>
        <v>0</v>
      </c>
      <c r="BA374" t="str">
        <f ca="1">IF((OFFSET($A$1, 374 - 1, 51 - 1)) &gt;= (OFFSET($A$1, 77 - 1, 7 - 1)), "1","0")</f>
        <v>0</v>
      </c>
      <c r="BB374">
        <f ca="1" xml:space="preserve"> IF( AND( OFFSET($A$1, 374 - 1, 52 - 1) = "1", OFFSET($A$1, 374 - 1, 53 - 1) = "1" ), 1, IF( AND( OFFSET($A$1, 374 - 1, 52 - 1) = "1", OFFSET($A$1, 374 - 1, 53 - 1) = "0" ), 2, IF( AND( OFFSET($A$1, 374 - 1, 52 - 1) = "0", OFFSET($A$1, 374 - 1, 53 - 1) = "1" ), 3, 4 ) ) )</f>
        <v>4</v>
      </c>
      <c r="BD374" s="7">
        <v>0</v>
      </c>
      <c r="BE374" s="7" t="str">
        <f>"0"</f>
        <v>0</v>
      </c>
      <c r="BF374" t="str">
        <f ca="1">IF((OFFSET($A$1, 374 - 1, 56 - 1)) &gt;= (OFFSET($A$1, 101 - 1, 7 - 1)), "1","0")</f>
        <v>0</v>
      </c>
      <c r="BG374">
        <f ca="1" xml:space="preserve"> IF( AND( OFFSET($A$1, 374 - 1, 57 - 1) = "1", OFFSET($A$1, 374 - 1, 58 - 1) = "1" ), 1, IF( AND( OFFSET($A$1, 374 - 1, 57 - 1) = "1", OFFSET($A$1, 374 - 1, 58 - 1) = "0" ), 2, IF( AND( OFFSET($A$1, 374 - 1, 57 - 1) = "0", OFFSET($A$1, 374 - 1, 58 - 1) = "1" ), 3, 4 ) ) )</f>
        <v>4</v>
      </c>
    </row>
    <row r="375" spans="51:59" x14ac:dyDescent="0.25">
      <c r="AY375" s="7">
        <v>1</v>
      </c>
      <c r="AZ375" s="7" t="str">
        <f>"1"</f>
        <v>1</v>
      </c>
      <c r="BA375" t="str">
        <f ca="1">IF((OFFSET($A$1, 375 - 1, 51 - 1)) &gt;= (OFFSET($A$1, 77 - 1, 7 - 1)), "1","0")</f>
        <v>1</v>
      </c>
      <c r="BB375">
        <f ca="1" xml:space="preserve"> IF( AND( OFFSET($A$1, 375 - 1, 52 - 1) = "1", OFFSET($A$1, 375 - 1, 53 - 1) = "1" ), 1, IF( AND( OFFSET($A$1, 375 - 1, 52 - 1) = "1", OFFSET($A$1, 375 - 1, 53 - 1) = "0" ), 2, IF( AND( OFFSET($A$1, 375 - 1, 52 - 1) = "0", OFFSET($A$1, 375 - 1, 53 - 1) = "1" ), 3, 4 ) ) )</f>
        <v>1</v>
      </c>
      <c r="BD375" s="7">
        <v>1</v>
      </c>
      <c r="BE375" s="7" t="str">
        <f>"1"</f>
        <v>1</v>
      </c>
      <c r="BF375" t="str">
        <f ca="1">IF((OFFSET($A$1, 375 - 1, 56 - 1)) &gt;= (OFFSET($A$1, 101 - 1, 7 - 1)), "1","0")</f>
        <v>1</v>
      </c>
      <c r="BG375">
        <f ca="1" xml:space="preserve"> IF( AND( OFFSET($A$1, 375 - 1, 57 - 1) = "1", OFFSET($A$1, 375 - 1, 58 - 1) = "1" ), 1, IF( AND( OFFSET($A$1, 375 - 1, 57 - 1) = "1", OFFSET($A$1, 375 - 1, 58 - 1) = "0" ), 2, IF( AND( OFFSET($A$1, 375 - 1, 57 - 1) = "0", OFFSET($A$1, 375 - 1, 58 - 1) = "1" ), 3, 4 ) ) )</f>
        <v>1</v>
      </c>
    </row>
    <row r="376" spans="51:59" x14ac:dyDescent="0.25">
      <c r="AY376" s="7">
        <v>1</v>
      </c>
      <c r="AZ376" s="7" t="str">
        <f>"1"</f>
        <v>1</v>
      </c>
      <c r="BA376" t="str">
        <f ca="1">IF((OFFSET($A$1, 376 - 1, 51 - 1)) &gt;= (OFFSET($A$1, 77 - 1, 7 - 1)), "1","0")</f>
        <v>1</v>
      </c>
      <c r="BB376">
        <f ca="1" xml:space="preserve"> IF( AND( OFFSET($A$1, 376 - 1, 52 - 1) = "1", OFFSET($A$1, 376 - 1, 53 - 1) = "1" ), 1, IF( AND( OFFSET($A$1, 376 - 1, 52 - 1) = "1", OFFSET($A$1, 376 - 1, 53 - 1) = "0" ), 2, IF( AND( OFFSET($A$1, 376 - 1, 52 - 1) = "0", OFFSET($A$1, 376 - 1, 53 - 1) = "1" ), 3, 4 ) ) )</f>
        <v>1</v>
      </c>
      <c r="BD376" s="7">
        <v>0.70588235294117652</v>
      </c>
      <c r="BE376" s="7" t="str">
        <f>"1"</f>
        <v>1</v>
      </c>
      <c r="BF376" t="str">
        <f ca="1">IF((OFFSET($A$1, 376 - 1, 56 - 1)) &gt;= (OFFSET($A$1, 101 - 1, 7 - 1)), "1","0")</f>
        <v>1</v>
      </c>
      <c r="BG376">
        <f ca="1" xml:space="preserve"> IF( AND( OFFSET($A$1, 376 - 1, 57 - 1) = "1", OFFSET($A$1, 376 - 1, 58 - 1) = "1" ), 1, IF( AND( OFFSET($A$1, 376 - 1, 57 - 1) = "1", OFFSET($A$1, 376 - 1, 58 - 1) = "0" ), 2, IF( AND( OFFSET($A$1, 376 - 1, 57 - 1) = "0", OFFSET($A$1, 376 - 1, 58 - 1) = "1" ), 3, 4 ) ) )</f>
        <v>1</v>
      </c>
    </row>
    <row r="377" spans="51:59" x14ac:dyDescent="0.25">
      <c r="AY377" s="7">
        <v>0</v>
      </c>
      <c r="AZ377" s="7" t="str">
        <f>"0"</f>
        <v>0</v>
      </c>
      <c r="BA377" t="str">
        <f ca="1">IF((OFFSET($A$1, 377 - 1, 51 - 1)) &gt;= (OFFSET($A$1, 77 - 1, 7 - 1)), "1","0")</f>
        <v>0</v>
      </c>
      <c r="BB377">
        <f ca="1" xml:space="preserve"> IF( AND( OFFSET($A$1, 377 - 1, 52 - 1) = "1", OFFSET($A$1, 377 - 1, 53 - 1) = "1" ), 1, IF( AND( OFFSET($A$1, 377 - 1, 52 - 1) = "1", OFFSET($A$1, 377 - 1, 53 - 1) = "0" ), 2, IF( AND( OFFSET($A$1, 377 - 1, 52 - 1) = "0", OFFSET($A$1, 377 - 1, 53 - 1) = "1" ), 3, 4 ) ) )</f>
        <v>4</v>
      </c>
      <c r="BD377" s="7">
        <v>0.17647058823529413</v>
      </c>
      <c r="BE377" s="7" t="str">
        <f>"0"</f>
        <v>0</v>
      </c>
      <c r="BF377" t="str">
        <f ca="1">IF((OFFSET($A$1, 377 - 1, 56 - 1)) &gt;= (OFFSET($A$1, 101 - 1, 7 - 1)), "1","0")</f>
        <v>0</v>
      </c>
      <c r="BG377">
        <f ca="1" xml:space="preserve"> IF( AND( OFFSET($A$1, 377 - 1, 57 - 1) = "1", OFFSET($A$1, 377 - 1, 58 - 1) = "1" ), 1, IF( AND( OFFSET($A$1, 377 - 1, 57 - 1) = "1", OFFSET($A$1, 377 - 1, 58 - 1) = "0" ), 2, IF( AND( OFFSET($A$1, 377 - 1, 57 - 1) = "0", OFFSET($A$1, 377 - 1, 58 - 1) = "1" ), 3, 4 ) ) )</f>
        <v>4</v>
      </c>
    </row>
    <row r="378" spans="51:59" x14ac:dyDescent="0.25">
      <c r="AY378" s="7">
        <v>0</v>
      </c>
      <c r="AZ378" s="7" t="str">
        <f>"0"</f>
        <v>0</v>
      </c>
      <c r="BA378" t="str">
        <f ca="1">IF((OFFSET($A$1, 378 - 1, 51 - 1)) &gt;= (OFFSET($A$1, 77 - 1, 7 - 1)), "1","0")</f>
        <v>0</v>
      </c>
      <c r="BB378">
        <f ca="1" xml:space="preserve"> IF( AND( OFFSET($A$1, 378 - 1, 52 - 1) = "1", OFFSET($A$1, 378 - 1, 53 - 1) = "1" ), 1, IF( AND( OFFSET($A$1, 378 - 1, 52 - 1) = "1", OFFSET($A$1, 378 - 1, 53 - 1) = "0" ), 2, IF( AND( OFFSET($A$1, 378 - 1, 52 - 1) = "0", OFFSET($A$1, 378 - 1, 53 - 1) = "1" ), 3, 4 ) ) )</f>
        <v>4</v>
      </c>
      <c r="BD378" s="7">
        <v>1</v>
      </c>
      <c r="BE378" s="7" t="str">
        <f>"1"</f>
        <v>1</v>
      </c>
      <c r="BF378" t="str">
        <f ca="1">IF((OFFSET($A$1, 378 - 1, 56 - 1)) &gt;= (OFFSET($A$1, 101 - 1, 7 - 1)), "1","0")</f>
        <v>1</v>
      </c>
      <c r="BG378">
        <f ca="1" xml:space="preserve"> IF( AND( OFFSET($A$1, 378 - 1, 57 - 1) = "1", OFFSET($A$1, 378 - 1, 58 - 1) = "1" ), 1, IF( AND( OFFSET($A$1, 378 - 1, 57 - 1) = "1", OFFSET($A$1, 378 - 1, 58 - 1) = "0" ), 2, IF( AND( OFFSET($A$1, 378 - 1, 57 - 1) = "0", OFFSET($A$1, 378 - 1, 58 - 1) = "1" ), 3, 4 ) ) )</f>
        <v>1</v>
      </c>
    </row>
    <row r="379" spans="51:59" x14ac:dyDescent="0.25">
      <c r="AY379" s="7">
        <v>0.47058823529411764</v>
      </c>
      <c r="AZ379" s="7" t="str">
        <f>"1"</f>
        <v>1</v>
      </c>
      <c r="BA379" t="str">
        <f ca="1">IF((OFFSET($A$1, 379 - 1, 51 - 1)) &gt;= (OFFSET($A$1, 77 - 1, 7 - 1)), "1","0")</f>
        <v>0</v>
      </c>
      <c r="BB379">
        <f ca="1" xml:space="preserve"> IF( AND( OFFSET($A$1, 379 - 1, 52 - 1) = "1", OFFSET($A$1, 379 - 1, 53 - 1) = "1" ), 1, IF( AND( OFFSET($A$1, 379 - 1, 52 - 1) = "1", OFFSET($A$1, 379 - 1, 53 - 1) = "0" ), 2, IF( AND( OFFSET($A$1, 379 - 1, 52 - 1) = "0", OFFSET($A$1, 379 - 1, 53 - 1) = "1" ), 3, 4 ) ) )</f>
        <v>2</v>
      </c>
      <c r="BD379" s="7">
        <v>0.41176470588235292</v>
      </c>
      <c r="BE379" s="7" t="str">
        <f>"1"</f>
        <v>1</v>
      </c>
      <c r="BF379" t="str">
        <f ca="1">IF((OFFSET($A$1, 379 - 1, 56 - 1)) &gt;= (OFFSET($A$1, 101 - 1, 7 - 1)), "1","0")</f>
        <v>0</v>
      </c>
      <c r="BG379">
        <f ca="1" xml:space="preserve"> IF( AND( OFFSET($A$1, 379 - 1, 57 - 1) = "1", OFFSET($A$1, 379 - 1, 58 - 1) = "1" ), 1, IF( AND( OFFSET($A$1, 379 - 1, 57 - 1) = "1", OFFSET($A$1, 379 - 1, 58 - 1) = "0" ), 2, IF( AND( OFFSET($A$1, 379 - 1, 57 - 1) = "0", OFFSET($A$1, 379 - 1, 58 - 1) = "1" ), 3, 4 ) ) )</f>
        <v>2</v>
      </c>
    </row>
    <row r="380" spans="51:59" x14ac:dyDescent="0.25">
      <c r="AY380" s="7">
        <v>0.6470588235294118</v>
      </c>
      <c r="AZ380" s="7" t="str">
        <f>"1"</f>
        <v>1</v>
      </c>
      <c r="BA380" t="str">
        <f ca="1">IF((OFFSET($A$1, 380 - 1, 51 - 1)) &gt;= (OFFSET($A$1, 77 - 1, 7 - 1)), "1","0")</f>
        <v>1</v>
      </c>
      <c r="BB380">
        <f ca="1" xml:space="preserve"> IF( AND( OFFSET($A$1, 380 - 1, 52 - 1) = "1", OFFSET($A$1, 380 - 1, 53 - 1) = "1" ), 1, IF( AND( OFFSET($A$1, 380 - 1, 52 - 1) = "1", OFFSET($A$1, 380 - 1, 53 - 1) = "0" ), 2, IF( AND( OFFSET($A$1, 380 - 1, 52 - 1) = "0", OFFSET($A$1, 380 - 1, 53 - 1) = "1" ), 3, 4 ) ) )</f>
        <v>1</v>
      </c>
      <c r="BD380" s="7">
        <v>1</v>
      </c>
      <c r="BE380" s="7" t="str">
        <f>"1"</f>
        <v>1</v>
      </c>
      <c r="BF380" t="str">
        <f ca="1">IF((OFFSET($A$1, 380 - 1, 56 - 1)) &gt;= (OFFSET($A$1, 101 - 1, 7 - 1)), "1","0")</f>
        <v>1</v>
      </c>
      <c r="BG380">
        <f ca="1" xml:space="preserve"> IF( AND( OFFSET($A$1, 380 - 1, 57 - 1) = "1", OFFSET($A$1, 380 - 1, 58 - 1) = "1" ), 1, IF( AND( OFFSET($A$1, 380 - 1, 57 - 1) = "1", OFFSET($A$1, 380 - 1, 58 - 1) = "0" ), 2, IF( AND( OFFSET($A$1, 380 - 1, 57 - 1) = "0", OFFSET($A$1, 380 - 1, 58 - 1) = "1" ), 3, 4 ) ) )</f>
        <v>1</v>
      </c>
    </row>
    <row r="381" spans="51:59" x14ac:dyDescent="0.25">
      <c r="AY381" s="7">
        <v>0</v>
      </c>
      <c r="AZ381" s="7" t="str">
        <f>"0"</f>
        <v>0</v>
      </c>
      <c r="BA381" t="str">
        <f ca="1">IF((OFFSET($A$1, 381 - 1, 51 - 1)) &gt;= (OFFSET($A$1, 77 - 1, 7 - 1)), "1","0")</f>
        <v>0</v>
      </c>
      <c r="BB381">
        <f ca="1" xml:space="preserve"> IF( AND( OFFSET($A$1, 381 - 1, 52 - 1) = "1", OFFSET($A$1, 381 - 1, 53 - 1) = "1" ), 1, IF( AND( OFFSET($A$1, 381 - 1, 52 - 1) = "1", OFFSET($A$1, 381 - 1, 53 - 1) = "0" ), 2, IF( AND( OFFSET($A$1, 381 - 1, 52 - 1) = "0", OFFSET($A$1, 381 - 1, 53 - 1) = "1" ), 3, 4 ) ) )</f>
        <v>4</v>
      </c>
      <c r="BD381" s="7">
        <v>0.94117647058823528</v>
      </c>
      <c r="BE381" s="7" t="str">
        <f>"1"</f>
        <v>1</v>
      </c>
      <c r="BF381" t="str">
        <f ca="1">IF((OFFSET($A$1, 381 - 1, 56 - 1)) &gt;= (OFFSET($A$1, 101 - 1, 7 - 1)), "1","0")</f>
        <v>1</v>
      </c>
      <c r="BG381">
        <f ca="1" xml:space="preserve"> IF( AND( OFFSET($A$1, 381 - 1, 57 - 1) = "1", OFFSET($A$1, 381 - 1, 58 - 1) = "1" ), 1, IF( AND( OFFSET($A$1, 381 - 1, 57 - 1) = "1", OFFSET($A$1, 381 - 1, 58 - 1) = "0" ), 2, IF( AND( OFFSET($A$1, 381 - 1, 57 - 1) = "0", OFFSET($A$1, 381 - 1, 58 - 1) = "1" ), 3, 4 ) ) )</f>
        <v>1</v>
      </c>
    </row>
    <row r="382" spans="51:59" x14ac:dyDescent="0.25">
      <c r="AY382" s="7">
        <v>1</v>
      </c>
      <c r="AZ382" s="7" t="str">
        <f>"1"</f>
        <v>1</v>
      </c>
      <c r="BA382" t="str">
        <f ca="1">IF((OFFSET($A$1, 382 - 1, 51 - 1)) &gt;= (OFFSET($A$1, 77 - 1, 7 - 1)), "1","0")</f>
        <v>1</v>
      </c>
      <c r="BB382">
        <f ca="1" xml:space="preserve"> IF( AND( OFFSET($A$1, 382 - 1, 52 - 1) = "1", OFFSET($A$1, 382 - 1, 53 - 1) = "1" ), 1, IF( AND( OFFSET($A$1, 382 - 1, 52 - 1) = "1", OFFSET($A$1, 382 - 1, 53 - 1) = "0" ), 2, IF( AND( OFFSET($A$1, 382 - 1, 52 - 1) = "0", OFFSET($A$1, 382 - 1, 53 - 1) = "1" ), 3, 4 ) ) )</f>
        <v>1</v>
      </c>
      <c r="BD382" s="7">
        <v>0</v>
      </c>
      <c r="BE382" s="7" t="str">
        <f>"0"</f>
        <v>0</v>
      </c>
      <c r="BF382" t="str">
        <f ca="1">IF((OFFSET($A$1, 382 - 1, 56 - 1)) &gt;= (OFFSET($A$1, 101 - 1, 7 - 1)), "1","0")</f>
        <v>0</v>
      </c>
      <c r="BG382">
        <f ca="1" xml:space="preserve"> IF( AND( OFFSET($A$1, 382 - 1, 57 - 1) = "1", OFFSET($A$1, 382 - 1, 58 - 1) = "1" ), 1, IF( AND( OFFSET($A$1, 382 - 1, 57 - 1) = "1", OFFSET($A$1, 382 - 1, 58 - 1) = "0" ), 2, IF( AND( OFFSET($A$1, 382 - 1, 57 - 1) = "0", OFFSET($A$1, 382 - 1, 58 - 1) = "1" ), 3, 4 ) ) )</f>
        <v>4</v>
      </c>
    </row>
    <row r="383" spans="51:59" x14ac:dyDescent="0.25">
      <c r="AY383" s="7">
        <v>1</v>
      </c>
      <c r="AZ383" s="7" t="str">
        <f>"1"</f>
        <v>1</v>
      </c>
      <c r="BA383" t="str">
        <f ca="1">IF((OFFSET($A$1, 383 - 1, 51 - 1)) &gt;= (OFFSET($A$1, 77 - 1, 7 - 1)), "1","0")</f>
        <v>1</v>
      </c>
      <c r="BB383">
        <f ca="1" xml:space="preserve"> IF( AND( OFFSET($A$1, 383 - 1, 52 - 1) = "1", OFFSET($A$1, 383 - 1, 53 - 1) = "1" ), 1, IF( AND( OFFSET($A$1, 383 - 1, 52 - 1) = "1", OFFSET($A$1, 383 - 1, 53 - 1) = "0" ), 2, IF( AND( OFFSET($A$1, 383 - 1, 52 - 1) = "0", OFFSET($A$1, 383 - 1, 53 - 1) = "1" ), 3, 4 ) ) )</f>
        <v>1</v>
      </c>
      <c r="BD383" s="7">
        <v>5.8823529411764705E-2</v>
      </c>
      <c r="BE383" s="7" t="str">
        <f>"0"</f>
        <v>0</v>
      </c>
      <c r="BF383" t="str">
        <f ca="1">IF((OFFSET($A$1, 383 - 1, 56 - 1)) &gt;= (OFFSET($A$1, 101 - 1, 7 - 1)), "1","0")</f>
        <v>0</v>
      </c>
      <c r="BG383">
        <f ca="1" xml:space="preserve"> IF( AND( OFFSET($A$1, 383 - 1, 57 - 1) = "1", OFFSET($A$1, 383 - 1, 58 - 1) = "1" ), 1, IF( AND( OFFSET($A$1, 383 - 1, 57 - 1) = "1", OFFSET($A$1, 383 - 1, 58 - 1) = "0" ), 2, IF( AND( OFFSET($A$1, 383 - 1, 57 - 1) = "0", OFFSET($A$1, 383 - 1, 58 - 1) = "1" ), 3, 4 ) ) )</f>
        <v>4</v>
      </c>
    </row>
    <row r="384" spans="51:59" x14ac:dyDescent="0.25">
      <c r="AY384" s="7">
        <v>0</v>
      </c>
      <c r="AZ384" s="7" t="str">
        <f>"0"</f>
        <v>0</v>
      </c>
      <c r="BA384" t="str">
        <f ca="1">IF((OFFSET($A$1, 384 - 1, 51 - 1)) &gt;= (OFFSET($A$1, 77 - 1, 7 - 1)), "1","0")</f>
        <v>0</v>
      </c>
      <c r="BB384">
        <f ca="1" xml:space="preserve"> IF( AND( OFFSET($A$1, 384 - 1, 52 - 1) = "1", OFFSET($A$1, 384 - 1, 53 - 1) = "1" ), 1, IF( AND( OFFSET($A$1, 384 - 1, 52 - 1) = "1", OFFSET($A$1, 384 - 1, 53 - 1) = "0" ), 2, IF( AND( OFFSET($A$1, 384 - 1, 52 - 1) = "0", OFFSET($A$1, 384 - 1, 53 - 1) = "1" ), 3, 4 ) ) )</f>
        <v>4</v>
      </c>
      <c r="BD384" s="7">
        <v>0.17647058823529413</v>
      </c>
      <c r="BE384" s="7" t="str">
        <f>"0"</f>
        <v>0</v>
      </c>
      <c r="BF384" t="str">
        <f ca="1">IF((OFFSET($A$1, 384 - 1, 56 - 1)) &gt;= (OFFSET($A$1, 101 - 1, 7 - 1)), "1","0")</f>
        <v>0</v>
      </c>
      <c r="BG384">
        <f ca="1" xml:space="preserve"> IF( AND( OFFSET($A$1, 384 - 1, 57 - 1) = "1", OFFSET($A$1, 384 - 1, 58 - 1) = "1" ), 1, IF( AND( OFFSET($A$1, 384 - 1, 57 - 1) = "1", OFFSET($A$1, 384 - 1, 58 - 1) = "0" ), 2, IF( AND( OFFSET($A$1, 384 - 1, 57 - 1) = "0", OFFSET($A$1, 384 - 1, 58 - 1) = "1" ), 3, 4 ) ) )</f>
        <v>4</v>
      </c>
    </row>
    <row r="385" spans="51:59" x14ac:dyDescent="0.25">
      <c r="AY385" s="7">
        <v>1</v>
      </c>
      <c r="AZ385" s="7" t="str">
        <f>"1"</f>
        <v>1</v>
      </c>
      <c r="BA385" t="str">
        <f ca="1">IF((OFFSET($A$1, 385 - 1, 51 - 1)) &gt;= (OFFSET($A$1, 77 - 1, 7 - 1)), "1","0")</f>
        <v>1</v>
      </c>
      <c r="BB385">
        <f ca="1" xml:space="preserve"> IF( AND( OFFSET($A$1, 385 - 1, 52 - 1) = "1", OFFSET($A$1, 385 - 1, 53 - 1) = "1" ), 1, IF( AND( OFFSET($A$1, 385 - 1, 52 - 1) = "1", OFFSET($A$1, 385 - 1, 53 - 1) = "0" ), 2, IF( AND( OFFSET($A$1, 385 - 1, 52 - 1) = "0", OFFSET($A$1, 385 - 1, 53 - 1) = "1" ), 3, 4 ) ) )</f>
        <v>1</v>
      </c>
      <c r="BD385" s="7">
        <v>0</v>
      </c>
      <c r="BE385" s="7" t="str">
        <f>"0"</f>
        <v>0</v>
      </c>
      <c r="BF385" t="str">
        <f ca="1">IF((OFFSET($A$1, 385 - 1, 56 - 1)) &gt;= (OFFSET($A$1, 101 - 1, 7 - 1)), "1","0")</f>
        <v>0</v>
      </c>
      <c r="BG385">
        <f ca="1" xml:space="preserve"> IF( AND( OFFSET($A$1, 385 - 1, 57 - 1) = "1", OFFSET($A$1, 385 - 1, 58 - 1) = "1" ), 1, IF( AND( OFFSET($A$1, 385 - 1, 57 - 1) = "1", OFFSET($A$1, 385 - 1, 58 - 1) = "0" ), 2, IF( AND( OFFSET($A$1, 385 - 1, 57 - 1) = "0", OFFSET($A$1, 385 - 1, 58 - 1) = "1" ), 3, 4 ) ) )</f>
        <v>4</v>
      </c>
    </row>
    <row r="386" spans="51:59" x14ac:dyDescent="0.25">
      <c r="AY386" s="7">
        <v>1</v>
      </c>
      <c r="AZ386" s="7" t="str">
        <f>"1"</f>
        <v>1</v>
      </c>
      <c r="BA386" t="str">
        <f ca="1">IF((OFFSET($A$1, 386 - 1, 51 - 1)) &gt;= (OFFSET($A$1, 77 - 1, 7 - 1)), "1","0")</f>
        <v>1</v>
      </c>
      <c r="BB386">
        <f ca="1" xml:space="preserve"> IF( AND( OFFSET($A$1, 386 - 1, 52 - 1) = "1", OFFSET($A$1, 386 - 1, 53 - 1) = "1" ), 1, IF( AND( OFFSET($A$1, 386 - 1, 52 - 1) = "1", OFFSET($A$1, 386 - 1, 53 - 1) = "0" ), 2, IF( AND( OFFSET($A$1, 386 - 1, 52 - 1) = "0", OFFSET($A$1, 386 - 1, 53 - 1) = "1" ), 3, 4 ) ) )</f>
        <v>1</v>
      </c>
      <c r="BD386" s="7">
        <v>0</v>
      </c>
      <c r="BE386" s="7" t="str">
        <f>"0"</f>
        <v>0</v>
      </c>
      <c r="BF386" t="str">
        <f ca="1">IF((OFFSET($A$1, 386 - 1, 56 - 1)) &gt;= (OFFSET($A$1, 101 - 1, 7 - 1)), "1","0")</f>
        <v>0</v>
      </c>
      <c r="BG386">
        <f ca="1" xml:space="preserve"> IF( AND( OFFSET($A$1, 386 - 1, 57 - 1) = "1", OFFSET($A$1, 386 - 1, 58 - 1) = "1" ), 1, IF( AND( OFFSET($A$1, 386 - 1, 57 - 1) = "1", OFFSET($A$1, 386 - 1, 58 - 1) = "0" ), 2, IF( AND( OFFSET($A$1, 386 - 1, 57 - 1) = "0", OFFSET($A$1, 386 - 1, 58 - 1) = "1" ), 3, 4 ) ) )</f>
        <v>4</v>
      </c>
    </row>
    <row r="387" spans="51:59" x14ac:dyDescent="0.25">
      <c r="AY387" s="7">
        <v>0.23529411764705882</v>
      </c>
      <c r="AZ387" s="7" t="str">
        <f>"0"</f>
        <v>0</v>
      </c>
      <c r="BA387" t="str">
        <f ca="1">IF((OFFSET($A$1, 387 - 1, 51 - 1)) &gt;= (OFFSET($A$1, 77 - 1, 7 - 1)), "1","0")</f>
        <v>0</v>
      </c>
      <c r="BB387">
        <f ca="1" xml:space="preserve"> IF( AND( OFFSET($A$1, 387 - 1, 52 - 1) = "1", OFFSET($A$1, 387 - 1, 53 - 1) = "1" ), 1, IF( AND( OFFSET($A$1, 387 - 1, 52 - 1) = "1", OFFSET($A$1, 387 - 1, 53 - 1) = "0" ), 2, IF( AND( OFFSET($A$1, 387 - 1, 52 - 1) = "0", OFFSET($A$1, 387 - 1, 53 - 1) = "1" ), 3, 4 ) ) )</f>
        <v>4</v>
      </c>
      <c r="BD387" s="7">
        <v>0</v>
      </c>
      <c r="BE387" s="7" t="str">
        <f>"0"</f>
        <v>0</v>
      </c>
      <c r="BF387" t="str">
        <f ca="1">IF((OFFSET($A$1, 387 - 1, 56 - 1)) &gt;= (OFFSET($A$1, 101 - 1, 7 - 1)), "1","0")</f>
        <v>0</v>
      </c>
      <c r="BG387">
        <f ca="1" xml:space="preserve"> IF( AND( OFFSET($A$1, 387 - 1, 57 - 1) = "1", OFFSET($A$1, 387 - 1, 58 - 1) = "1" ), 1, IF( AND( OFFSET($A$1, 387 - 1, 57 - 1) = "1", OFFSET($A$1, 387 - 1, 58 - 1) = "0" ), 2, IF( AND( OFFSET($A$1, 387 - 1, 57 - 1) = "0", OFFSET($A$1, 387 - 1, 58 - 1) = "1" ), 3, 4 ) ) )</f>
        <v>4</v>
      </c>
    </row>
    <row r="388" spans="51:59" x14ac:dyDescent="0.25">
      <c r="AY388" s="7">
        <v>0.6470588235294118</v>
      </c>
      <c r="AZ388" s="7" t="str">
        <f>"1"</f>
        <v>1</v>
      </c>
      <c r="BA388" t="str">
        <f ca="1">IF((OFFSET($A$1, 388 - 1, 51 - 1)) &gt;= (OFFSET($A$1, 77 - 1, 7 - 1)), "1","0")</f>
        <v>1</v>
      </c>
      <c r="BB388">
        <f ca="1" xml:space="preserve"> IF( AND( OFFSET($A$1, 388 - 1, 52 - 1) = "1", OFFSET($A$1, 388 - 1, 53 - 1) = "1" ), 1, IF( AND( OFFSET($A$1, 388 - 1, 52 - 1) = "1", OFFSET($A$1, 388 - 1, 53 - 1) = "0" ), 2, IF( AND( OFFSET($A$1, 388 - 1, 52 - 1) = "0", OFFSET($A$1, 388 - 1, 53 - 1) = "1" ), 3, 4 ) ) )</f>
        <v>1</v>
      </c>
      <c r="BD388" s="7">
        <v>0</v>
      </c>
      <c r="BE388" s="7" t="str">
        <f>"0"</f>
        <v>0</v>
      </c>
      <c r="BF388" t="str">
        <f ca="1">IF((OFFSET($A$1, 388 - 1, 56 - 1)) &gt;= (OFFSET($A$1, 101 - 1, 7 - 1)), "1","0")</f>
        <v>0</v>
      </c>
      <c r="BG388">
        <f ca="1" xml:space="preserve"> IF( AND( OFFSET($A$1, 388 - 1, 57 - 1) = "1", OFFSET($A$1, 388 - 1, 58 - 1) = "1" ), 1, IF( AND( OFFSET($A$1, 388 - 1, 57 - 1) = "1", OFFSET($A$1, 388 - 1, 58 - 1) = "0" ), 2, IF( AND( OFFSET($A$1, 388 - 1, 57 - 1) = "0", OFFSET($A$1, 388 - 1, 58 - 1) = "1" ), 3, 4 ) ) )</f>
        <v>4</v>
      </c>
    </row>
    <row r="389" spans="51:59" x14ac:dyDescent="0.25">
      <c r="AY389" s="7">
        <v>0</v>
      </c>
      <c r="AZ389" s="7" t="str">
        <f>"0"</f>
        <v>0</v>
      </c>
      <c r="BA389" t="str">
        <f ca="1">IF((OFFSET($A$1, 389 - 1, 51 - 1)) &gt;= (OFFSET($A$1, 77 - 1, 7 - 1)), "1","0")</f>
        <v>0</v>
      </c>
      <c r="BB389">
        <f ca="1" xml:space="preserve"> IF( AND( OFFSET($A$1, 389 - 1, 52 - 1) = "1", OFFSET($A$1, 389 - 1, 53 - 1) = "1" ), 1, IF( AND( OFFSET($A$1, 389 - 1, 52 - 1) = "1", OFFSET($A$1, 389 - 1, 53 - 1) = "0" ), 2, IF( AND( OFFSET($A$1, 389 - 1, 52 - 1) = "0", OFFSET($A$1, 389 - 1, 53 - 1) = "1" ), 3, 4 ) ) )</f>
        <v>4</v>
      </c>
      <c r="BD389" s="7">
        <v>0</v>
      </c>
      <c r="BE389" s="7" t="str">
        <f>"0"</f>
        <v>0</v>
      </c>
      <c r="BF389" t="str">
        <f ca="1">IF((OFFSET($A$1, 389 - 1, 56 - 1)) &gt;= (OFFSET($A$1, 101 - 1, 7 - 1)), "1","0")</f>
        <v>0</v>
      </c>
      <c r="BG389">
        <f ca="1" xml:space="preserve"> IF( AND( OFFSET($A$1, 389 - 1, 57 - 1) = "1", OFFSET($A$1, 389 - 1, 58 - 1) = "1" ), 1, IF( AND( OFFSET($A$1, 389 - 1, 57 - 1) = "1", OFFSET($A$1, 389 - 1, 58 - 1) = "0" ), 2, IF( AND( OFFSET($A$1, 389 - 1, 57 - 1) = "0", OFFSET($A$1, 389 - 1, 58 - 1) = "1" ), 3, 4 ) ) )</f>
        <v>4</v>
      </c>
    </row>
    <row r="390" spans="51:59" x14ac:dyDescent="0.25">
      <c r="AY390" s="7">
        <v>0.88235294117647056</v>
      </c>
      <c r="AZ390" s="7" t="str">
        <f>"1"</f>
        <v>1</v>
      </c>
      <c r="BA390" t="str">
        <f ca="1">IF((OFFSET($A$1, 390 - 1, 51 - 1)) &gt;= (OFFSET($A$1, 77 - 1, 7 - 1)), "1","0")</f>
        <v>1</v>
      </c>
      <c r="BB390">
        <f ca="1" xml:space="preserve"> IF( AND( OFFSET($A$1, 390 - 1, 52 - 1) = "1", OFFSET($A$1, 390 - 1, 53 - 1) = "1" ), 1, IF( AND( OFFSET($A$1, 390 - 1, 52 - 1) = "1", OFFSET($A$1, 390 - 1, 53 - 1) = "0" ), 2, IF( AND( OFFSET($A$1, 390 - 1, 52 - 1) = "0", OFFSET($A$1, 390 - 1, 53 - 1) = "1" ), 3, 4 ) ) )</f>
        <v>1</v>
      </c>
      <c r="BD390" s="7">
        <v>0</v>
      </c>
      <c r="BE390" s="7" t="str">
        <f>"0"</f>
        <v>0</v>
      </c>
      <c r="BF390" t="str">
        <f ca="1">IF((OFFSET($A$1, 390 - 1, 56 - 1)) &gt;= (OFFSET($A$1, 101 - 1, 7 - 1)), "1","0")</f>
        <v>0</v>
      </c>
      <c r="BG390">
        <f ca="1" xml:space="preserve"> IF( AND( OFFSET($A$1, 390 - 1, 57 - 1) = "1", OFFSET($A$1, 390 - 1, 58 - 1) = "1" ), 1, IF( AND( OFFSET($A$1, 390 - 1, 57 - 1) = "1", OFFSET($A$1, 390 - 1, 58 - 1) = "0" ), 2, IF( AND( OFFSET($A$1, 390 - 1, 57 - 1) = "0", OFFSET($A$1, 390 - 1, 58 - 1) = "1" ), 3, 4 ) ) )</f>
        <v>4</v>
      </c>
    </row>
    <row r="391" spans="51:59" x14ac:dyDescent="0.25">
      <c r="AY391" s="7">
        <v>0</v>
      </c>
      <c r="AZ391" s="7" t="str">
        <f>"0"</f>
        <v>0</v>
      </c>
      <c r="BA391" t="str">
        <f ca="1">IF((OFFSET($A$1, 391 - 1, 51 - 1)) &gt;= (OFFSET($A$1, 77 - 1, 7 - 1)), "1","0")</f>
        <v>0</v>
      </c>
      <c r="BB391">
        <f ca="1" xml:space="preserve"> IF( AND( OFFSET($A$1, 391 - 1, 52 - 1) = "1", OFFSET($A$1, 391 - 1, 53 - 1) = "1" ), 1, IF( AND( OFFSET($A$1, 391 - 1, 52 - 1) = "1", OFFSET($A$1, 391 - 1, 53 - 1) = "0" ), 2, IF( AND( OFFSET($A$1, 391 - 1, 52 - 1) = "0", OFFSET($A$1, 391 - 1, 53 - 1) = "1" ), 3, 4 ) ) )</f>
        <v>4</v>
      </c>
      <c r="BD391" s="7">
        <v>0</v>
      </c>
      <c r="BE391" s="7" t="str">
        <f>"0"</f>
        <v>0</v>
      </c>
      <c r="BF391" t="str">
        <f ca="1">IF((OFFSET($A$1, 391 - 1, 56 - 1)) &gt;= (OFFSET($A$1, 101 - 1, 7 - 1)), "1","0")</f>
        <v>0</v>
      </c>
      <c r="BG391">
        <f ca="1" xml:space="preserve"> IF( AND( OFFSET($A$1, 391 - 1, 57 - 1) = "1", OFFSET($A$1, 391 - 1, 58 - 1) = "1" ), 1, IF( AND( OFFSET($A$1, 391 - 1, 57 - 1) = "1", OFFSET($A$1, 391 - 1, 58 - 1) = "0" ), 2, IF( AND( OFFSET($A$1, 391 - 1, 57 - 1) = "0", OFFSET($A$1, 391 - 1, 58 - 1) = "1" ), 3, 4 ) ) )</f>
        <v>4</v>
      </c>
    </row>
    <row r="392" spans="51:59" x14ac:dyDescent="0.25">
      <c r="AY392" s="7">
        <v>0.41176470588235292</v>
      </c>
      <c r="AZ392" s="7" t="str">
        <f>"0"</f>
        <v>0</v>
      </c>
      <c r="BA392" t="str">
        <f ca="1">IF((OFFSET($A$1, 392 - 1, 51 - 1)) &gt;= (OFFSET($A$1, 77 - 1, 7 - 1)), "1","0")</f>
        <v>0</v>
      </c>
      <c r="BB392">
        <f ca="1" xml:space="preserve"> IF( AND( OFFSET($A$1, 392 - 1, 52 - 1) = "1", OFFSET($A$1, 392 - 1, 53 - 1) = "1" ), 1, IF( AND( OFFSET($A$1, 392 - 1, 52 - 1) = "1", OFFSET($A$1, 392 - 1, 53 - 1) = "0" ), 2, IF( AND( OFFSET($A$1, 392 - 1, 52 - 1) = "0", OFFSET($A$1, 392 - 1, 53 - 1) = "1" ), 3, 4 ) ) )</f>
        <v>4</v>
      </c>
      <c r="BD392" s="7">
        <v>5.8823529411764705E-2</v>
      </c>
      <c r="BE392" s="7" t="str">
        <f>"0"</f>
        <v>0</v>
      </c>
      <c r="BF392" t="str">
        <f ca="1">IF((OFFSET($A$1, 392 - 1, 56 - 1)) &gt;= (OFFSET($A$1, 101 - 1, 7 - 1)), "1","0")</f>
        <v>0</v>
      </c>
      <c r="BG392">
        <f ca="1" xml:space="preserve"> IF( AND( OFFSET($A$1, 392 - 1, 57 - 1) = "1", OFFSET($A$1, 392 - 1, 58 - 1) = "1" ), 1, IF( AND( OFFSET($A$1, 392 - 1, 57 - 1) = "1", OFFSET($A$1, 392 - 1, 58 - 1) = "0" ), 2, IF( AND( OFFSET($A$1, 392 - 1, 57 - 1) = "0", OFFSET($A$1, 392 - 1, 58 - 1) = "1" ), 3, 4 ) ) )</f>
        <v>4</v>
      </c>
    </row>
    <row r="393" spans="51:59" x14ac:dyDescent="0.25">
      <c r="AY393" s="7">
        <v>0.47058823529411764</v>
      </c>
      <c r="AZ393" s="7" t="str">
        <f>"0"</f>
        <v>0</v>
      </c>
      <c r="BA393" t="str">
        <f ca="1">IF((OFFSET($A$1, 393 - 1, 51 - 1)) &gt;= (OFFSET($A$1, 77 - 1, 7 - 1)), "1","0")</f>
        <v>0</v>
      </c>
      <c r="BB393">
        <f ca="1" xml:space="preserve"> IF( AND( OFFSET($A$1, 393 - 1, 52 - 1) = "1", OFFSET($A$1, 393 - 1, 53 - 1) = "1" ), 1, IF( AND( OFFSET($A$1, 393 - 1, 52 - 1) = "1", OFFSET($A$1, 393 - 1, 53 - 1) = "0" ), 2, IF( AND( OFFSET($A$1, 393 - 1, 52 - 1) = "0", OFFSET($A$1, 393 - 1, 53 - 1) = "1" ), 3, 4 ) ) )</f>
        <v>4</v>
      </c>
      <c r="BD393" s="7">
        <v>0.94117647058823528</v>
      </c>
      <c r="BE393" s="7" t="str">
        <f>"1"</f>
        <v>1</v>
      </c>
      <c r="BF393" t="str">
        <f ca="1">IF((OFFSET($A$1, 393 - 1, 56 - 1)) &gt;= (OFFSET($A$1, 101 - 1, 7 - 1)), "1","0")</f>
        <v>1</v>
      </c>
      <c r="BG393">
        <f ca="1" xml:space="preserve"> IF( AND( OFFSET($A$1, 393 - 1, 57 - 1) = "1", OFFSET($A$1, 393 - 1, 58 - 1) = "1" ), 1, IF( AND( OFFSET($A$1, 393 - 1, 57 - 1) = "1", OFFSET($A$1, 393 - 1, 58 - 1) = "0" ), 2, IF( AND( OFFSET($A$1, 393 - 1, 57 - 1) = "0", OFFSET($A$1, 393 - 1, 58 - 1) = "1" ), 3, 4 ) ) )</f>
        <v>1</v>
      </c>
    </row>
    <row r="394" spans="51:59" x14ac:dyDescent="0.25">
      <c r="AY394" s="7">
        <v>1</v>
      </c>
      <c r="AZ394" s="7" t="str">
        <f>"1"</f>
        <v>1</v>
      </c>
      <c r="BA394" t="str">
        <f ca="1">IF((OFFSET($A$1, 394 - 1, 51 - 1)) &gt;= (OFFSET($A$1, 77 - 1, 7 - 1)), "1","0")</f>
        <v>1</v>
      </c>
      <c r="BB394">
        <f ca="1" xml:space="preserve"> IF( AND( OFFSET($A$1, 394 - 1, 52 - 1) = "1", OFFSET($A$1, 394 - 1, 53 - 1) = "1" ), 1, IF( AND( OFFSET($A$1, 394 - 1, 52 - 1) = "1", OFFSET($A$1, 394 - 1, 53 - 1) = "0" ), 2, IF( AND( OFFSET($A$1, 394 - 1, 52 - 1) = "0", OFFSET($A$1, 394 - 1, 53 - 1) = "1" ), 3, 4 ) ) )</f>
        <v>1</v>
      </c>
      <c r="BD394" s="7">
        <v>0</v>
      </c>
      <c r="BE394" s="7" t="str">
        <f>"0"</f>
        <v>0</v>
      </c>
      <c r="BF394" t="str">
        <f ca="1">IF((OFFSET($A$1, 394 - 1, 56 - 1)) &gt;= (OFFSET($A$1, 101 - 1, 7 - 1)), "1","0")</f>
        <v>0</v>
      </c>
      <c r="BG394">
        <f ca="1" xml:space="preserve"> IF( AND( OFFSET($A$1, 394 - 1, 57 - 1) = "1", OFFSET($A$1, 394 - 1, 58 - 1) = "1" ), 1, IF( AND( OFFSET($A$1, 394 - 1, 57 - 1) = "1", OFFSET($A$1, 394 - 1, 58 - 1) = "0" ), 2, IF( AND( OFFSET($A$1, 394 - 1, 57 - 1) = "0", OFFSET($A$1, 394 - 1, 58 - 1) = "1" ), 3, 4 ) ) )</f>
        <v>4</v>
      </c>
    </row>
    <row r="395" spans="51:59" x14ac:dyDescent="0.25">
      <c r="AY395" s="7">
        <v>0</v>
      </c>
      <c r="AZ395" s="7" t="str">
        <f>"0"</f>
        <v>0</v>
      </c>
      <c r="BA395" t="str">
        <f ca="1">IF((OFFSET($A$1, 395 - 1, 51 - 1)) &gt;= (OFFSET($A$1, 77 - 1, 7 - 1)), "1","0")</f>
        <v>0</v>
      </c>
      <c r="BB395">
        <f ca="1" xml:space="preserve"> IF( AND( OFFSET($A$1, 395 - 1, 52 - 1) = "1", OFFSET($A$1, 395 - 1, 53 - 1) = "1" ), 1, IF( AND( OFFSET($A$1, 395 - 1, 52 - 1) = "1", OFFSET($A$1, 395 - 1, 53 - 1) = "0" ), 2, IF( AND( OFFSET($A$1, 395 - 1, 52 - 1) = "0", OFFSET($A$1, 395 - 1, 53 - 1) = "1" ), 3, 4 ) ) )</f>
        <v>4</v>
      </c>
      <c r="BD395" s="7">
        <v>0</v>
      </c>
      <c r="BE395" s="7" t="str">
        <f>"0"</f>
        <v>0</v>
      </c>
      <c r="BF395" t="str">
        <f ca="1">IF((OFFSET($A$1, 395 - 1, 56 - 1)) &gt;= (OFFSET($A$1, 101 - 1, 7 - 1)), "1","0")</f>
        <v>0</v>
      </c>
      <c r="BG395">
        <f ca="1" xml:space="preserve"> IF( AND( OFFSET($A$1, 395 - 1, 57 - 1) = "1", OFFSET($A$1, 395 - 1, 58 - 1) = "1" ), 1, IF( AND( OFFSET($A$1, 395 - 1, 57 - 1) = "1", OFFSET($A$1, 395 - 1, 58 - 1) = "0" ), 2, IF( AND( OFFSET($A$1, 395 - 1, 57 - 1) = "0", OFFSET($A$1, 395 - 1, 58 - 1) = "1" ), 3, 4 ) ) )</f>
        <v>4</v>
      </c>
    </row>
    <row r="396" spans="51:59" x14ac:dyDescent="0.25">
      <c r="AY396" s="7">
        <v>0</v>
      </c>
      <c r="AZ396" s="7" t="str">
        <f>"0"</f>
        <v>0</v>
      </c>
      <c r="BA396" t="str">
        <f ca="1">IF((OFFSET($A$1, 396 - 1, 51 - 1)) &gt;= (OFFSET($A$1, 77 - 1, 7 - 1)), "1","0")</f>
        <v>0</v>
      </c>
      <c r="BB396">
        <f ca="1" xml:space="preserve"> IF( AND( OFFSET($A$1, 396 - 1, 52 - 1) = "1", OFFSET($A$1, 396 - 1, 53 - 1) = "1" ), 1, IF( AND( OFFSET($A$1, 396 - 1, 52 - 1) = "1", OFFSET($A$1, 396 - 1, 53 - 1) = "0" ), 2, IF( AND( OFFSET($A$1, 396 - 1, 52 - 1) = "0", OFFSET($A$1, 396 - 1, 53 - 1) = "1" ), 3, 4 ) ) )</f>
        <v>4</v>
      </c>
      <c r="BD396" s="7">
        <v>0</v>
      </c>
      <c r="BE396" s="7" t="str">
        <f>"0"</f>
        <v>0</v>
      </c>
      <c r="BF396" t="str">
        <f ca="1">IF((OFFSET($A$1, 396 - 1, 56 - 1)) &gt;= (OFFSET($A$1, 101 - 1, 7 - 1)), "1","0")</f>
        <v>0</v>
      </c>
      <c r="BG396">
        <f ca="1" xml:space="preserve"> IF( AND( OFFSET($A$1, 396 - 1, 57 - 1) = "1", OFFSET($A$1, 396 - 1, 58 - 1) = "1" ), 1, IF( AND( OFFSET($A$1, 396 - 1, 57 - 1) = "1", OFFSET($A$1, 396 - 1, 58 - 1) = "0" ), 2, IF( AND( OFFSET($A$1, 396 - 1, 57 - 1) = "0", OFFSET($A$1, 396 - 1, 58 - 1) = "1" ), 3, 4 ) ) )</f>
        <v>4</v>
      </c>
    </row>
    <row r="397" spans="51:59" x14ac:dyDescent="0.25">
      <c r="AY397" s="7">
        <v>0</v>
      </c>
      <c r="AZ397" s="7" t="str">
        <f>"0"</f>
        <v>0</v>
      </c>
      <c r="BA397" t="str">
        <f ca="1">IF((OFFSET($A$1, 397 - 1, 51 - 1)) &gt;= (OFFSET($A$1, 77 - 1, 7 - 1)), "1","0")</f>
        <v>0</v>
      </c>
      <c r="BB397">
        <f ca="1" xml:space="preserve"> IF( AND( OFFSET($A$1, 397 - 1, 52 - 1) = "1", OFFSET($A$1, 397 - 1, 53 - 1) = "1" ), 1, IF( AND( OFFSET($A$1, 397 - 1, 52 - 1) = "1", OFFSET($A$1, 397 - 1, 53 - 1) = "0" ), 2, IF( AND( OFFSET($A$1, 397 - 1, 52 - 1) = "0", OFFSET($A$1, 397 - 1, 53 - 1) = "1" ), 3, 4 ) ) )</f>
        <v>4</v>
      </c>
      <c r="BD397" s="7">
        <v>0</v>
      </c>
      <c r="BE397" s="7" t="str">
        <f>"0"</f>
        <v>0</v>
      </c>
      <c r="BF397" t="str">
        <f ca="1">IF((OFFSET($A$1, 397 - 1, 56 - 1)) &gt;= (OFFSET($A$1, 101 - 1, 7 - 1)), "1","0")</f>
        <v>0</v>
      </c>
      <c r="BG397">
        <f ca="1" xml:space="preserve"> IF( AND( OFFSET($A$1, 397 - 1, 57 - 1) = "1", OFFSET($A$1, 397 - 1, 58 - 1) = "1" ), 1, IF( AND( OFFSET($A$1, 397 - 1, 57 - 1) = "1", OFFSET($A$1, 397 - 1, 58 - 1) = "0" ), 2, IF( AND( OFFSET($A$1, 397 - 1, 57 - 1) = "0", OFFSET($A$1, 397 - 1, 58 - 1) = "1" ), 3, 4 ) ) )</f>
        <v>4</v>
      </c>
    </row>
    <row r="398" spans="51:59" x14ac:dyDescent="0.25">
      <c r="AY398" s="7">
        <v>1</v>
      </c>
      <c r="AZ398" s="7" t="str">
        <f>"1"</f>
        <v>1</v>
      </c>
      <c r="BA398" t="str">
        <f ca="1">IF((OFFSET($A$1, 398 - 1, 51 - 1)) &gt;= (OFFSET($A$1, 77 - 1, 7 - 1)), "1","0")</f>
        <v>1</v>
      </c>
      <c r="BB398">
        <f ca="1" xml:space="preserve"> IF( AND( OFFSET($A$1, 398 - 1, 52 - 1) = "1", OFFSET($A$1, 398 - 1, 53 - 1) = "1" ), 1, IF( AND( OFFSET($A$1, 398 - 1, 52 - 1) = "1", OFFSET($A$1, 398 - 1, 53 - 1) = "0" ), 2, IF( AND( OFFSET($A$1, 398 - 1, 52 - 1) = "0", OFFSET($A$1, 398 - 1, 53 - 1) = "1" ), 3, 4 ) ) )</f>
        <v>1</v>
      </c>
      <c r="BD398" s="7">
        <v>0.52941176470588236</v>
      </c>
      <c r="BE398" s="7" t="str">
        <f>"1"</f>
        <v>1</v>
      </c>
      <c r="BF398" t="str">
        <f ca="1">IF((OFFSET($A$1, 398 - 1, 56 - 1)) &gt;= (OFFSET($A$1, 101 - 1, 7 - 1)), "1","0")</f>
        <v>1</v>
      </c>
      <c r="BG398">
        <f ca="1" xml:space="preserve"> IF( AND( OFFSET($A$1, 398 - 1, 57 - 1) = "1", OFFSET($A$1, 398 - 1, 58 - 1) = "1" ), 1, IF( AND( OFFSET($A$1, 398 - 1, 57 - 1) = "1", OFFSET($A$1, 398 - 1, 58 - 1) = "0" ), 2, IF( AND( OFFSET($A$1, 398 - 1, 57 - 1) = "0", OFFSET($A$1, 398 - 1, 58 - 1) = "1" ), 3, 4 ) ) )</f>
        <v>1</v>
      </c>
    </row>
    <row r="399" spans="51:59" x14ac:dyDescent="0.25">
      <c r="AY399" s="7">
        <v>0</v>
      </c>
      <c r="AZ399" s="7" t="str">
        <f>"0"</f>
        <v>0</v>
      </c>
      <c r="BA399" t="str">
        <f ca="1">IF((OFFSET($A$1, 399 - 1, 51 - 1)) &gt;= (OFFSET($A$1, 77 - 1, 7 - 1)), "1","0")</f>
        <v>0</v>
      </c>
      <c r="BB399">
        <f ca="1" xml:space="preserve"> IF( AND( OFFSET($A$1, 399 - 1, 52 - 1) = "1", OFFSET($A$1, 399 - 1, 53 - 1) = "1" ), 1, IF( AND( OFFSET($A$1, 399 - 1, 52 - 1) = "1", OFFSET($A$1, 399 - 1, 53 - 1) = "0" ), 2, IF( AND( OFFSET($A$1, 399 - 1, 52 - 1) = "0", OFFSET($A$1, 399 - 1, 53 - 1) = "1" ), 3, 4 ) ) )</f>
        <v>4</v>
      </c>
      <c r="BD399" s="7">
        <v>0.94117647058823528</v>
      </c>
      <c r="BE399" s="7" t="str">
        <f>"1"</f>
        <v>1</v>
      </c>
      <c r="BF399" t="str">
        <f ca="1">IF((OFFSET($A$1, 399 - 1, 56 - 1)) &gt;= (OFFSET($A$1, 101 - 1, 7 - 1)), "1","0")</f>
        <v>1</v>
      </c>
      <c r="BG399">
        <f ca="1" xml:space="preserve"> IF( AND( OFFSET($A$1, 399 - 1, 57 - 1) = "1", OFFSET($A$1, 399 - 1, 58 - 1) = "1" ), 1, IF( AND( OFFSET($A$1, 399 - 1, 57 - 1) = "1", OFFSET($A$1, 399 - 1, 58 - 1) = "0" ), 2, IF( AND( OFFSET($A$1, 399 - 1, 57 - 1) = "0", OFFSET($A$1, 399 - 1, 58 - 1) = "1" ), 3, 4 ) ) )</f>
        <v>1</v>
      </c>
    </row>
    <row r="400" spans="51:59" x14ac:dyDescent="0.25">
      <c r="AY400" s="7">
        <v>0</v>
      </c>
      <c r="AZ400" s="7" t="str">
        <f>"0"</f>
        <v>0</v>
      </c>
      <c r="BA400" t="str">
        <f ca="1">IF((OFFSET($A$1, 400 - 1, 51 - 1)) &gt;= (OFFSET($A$1, 77 - 1, 7 - 1)), "1","0")</f>
        <v>0</v>
      </c>
      <c r="BB400">
        <f ca="1" xml:space="preserve"> IF( AND( OFFSET($A$1, 400 - 1, 52 - 1) = "1", OFFSET($A$1, 400 - 1, 53 - 1) = "1" ), 1, IF( AND( OFFSET($A$1, 400 - 1, 52 - 1) = "1", OFFSET($A$1, 400 - 1, 53 - 1) = "0" ), 2, IF( AND( OFFSET($A$1, 400 - 1, 52 - 1) = "0", OFFSET($A$1, 400 - 1, 53 - 1) = "1" ), 3, 4 ) ) )</f>
        <v>4</v>
      </c>
      <c r="BD400" s="7">
        <v>0.23529411764705882</v>
      </c>
      <c r="BE400" s="7" t="str">
        <f>"0"</f>
        <v>0</v>
      </c>
      <c r="BF400" t="str">
        <f ca="1">IF((OFFSET($A$1, 400 - 1, 56 - 1)) &gt;= (OFFSET($A$1, 101 - 1, 7 - 1)), "1","0")</f>
        <v>0</v>
      </c>
      <c r="BG400">
        <f ca="1" xml:space="preserve"> IF( AND( OFFSET($A$1, 400 - 1, 57 - 1) = "1", OFFSET($A$1, 400 - 1, 58 - 1) = "1" ), 1, IF( AND( OFFSET($A$1, 400 - 1, 57 - 1) = "1", OFFSET($A$1, 400 - 1, 58 - 1) = "0" ), 2, IF( AND( OFFSET($A$1, 400 - 1, 57 - 1) = "0", OFFSET($A$1, 400 - 1, 58 - 1) = "1" ), 3, 4 ) ) )</f>
        <v>4</v>
      </c>
    </row>
    <row r="401" spans="51:54" x14ac:dyDescent="0.25">
      <c r="AY401" s="7">
        <v>0.41176470588235292</v>
      </c>
      <c r="AZ401" s="7" t="str">
        <f>"0"</f>
        <v>0</v>
      </c>
      <c r="BA401" t="str">
        <f ca="1">IF((OFFSET($A$1, 401 - 1, 51 - 1)) &gt;= (OFFSET($A$1, 77 - 1, 7 - 1)), "1","0")</f>
        <v>0</v>
      </c>
      <c r="BB401">
        <f ca="1" xml:space="preserve"> IF( AND( OFFSET($A$1, 401 - 1, 52 - 1) = "1", OFFSET($A$1, 401 - 1, 53 - 1) = "1" ), 1, IF( AND( OFFSET($A$1, 401 - 1, 52 - 1) = "1", OFFSET($A$1, 401 - 1, 53 - 1) = "0" ), 2, IF( AND( OFFSET($A$1, 401 - 1, 52 - 1) = "0", OFFSET($A$1, 401 - 1, 53 - 1) = "1" ), 3, 4 ) ) )</f>
        <v>4</v>
      </c>
    </row>
    <row r="402" spans="51:54" x14ac:dyDescent="0.25">
      <c r="AY402" s="7">
        <v>0</v>
      </c>
      <c r="AZ402" s="7" t="str">
        <f>"0"</f>
        <v>0</v>
      </c>
      <c r="BA402" t="str">
        <f ca="1">IF((OFFSET($A$1, 402 - 1, 51 - 1)) &gt;= (OFFSET($A$1, 77 - 1, 7 - 1)), "1","0")</f>
        <v>0</v>
      </c>
      <c r="BB402">
        <f ca="1" xml:space="preserve"> IF( AND( OFFSET($A$1, 402 - 1, 52 - 1) = "1", OFFSET($A$1, 402 - 1, 53 - 1) = "1" ), 1, IF( AND( OFFSET($A$1, 402 - 1, 52 - 1) = "1", OFFSET($A$1, 402 - 1, 53 - 1) = "0" ), 2, IF( AND( OFFSET($A$1, 402 - 1, 52 - 1) = "0", OFFSET($A$1, 402 - 1, 53 - 1) = "1" ), 3, 4 ) ) )</f>
        <v>4</v>
      </c>
    </row>
    <row r="403" spans="51:54" x14ac:dyDescent="0.25">
      <c r="AY403" s="7">
        <v>0</v>
      </c>
      <c r="AZ403" s="7" t="str">
        <f>"0"</f>
        <v>0</v>
      </c>
      <c r="BA403" t="str">
        <f ca="1">IF((OFFSET($A$1, 403 - 1, 51 - 1)) &gt;= (OFFSET($A$1, 77 - 1, 7 - 1)), "1","0")</f>
        <v>0</v>
      </c>
      <c r="BB403">
        <f ca="1" xml:space="preserve"> IF( AND( OFFSET($A$1, 403 - 1, 52 - 1) = "1", OFFSET($A$1, 403 - 1, 53 - 1) = "1" ), 1, IF( AND( OFFSET($A$1, 403 - 1, 52 - 1) = "1", OFFSET($A$1, 403 - 1, 53 - 1) = "0" ), 2, IF( AND( OFFSET($A$1, 403 - 1, 52 - 1) = "0", OFFSET($A$1, 403 - 1, 53 - 1) = "1" ), 3, 4 ) ) )</f>
        <v>4</v>
      </c>
    </row>
    <row r="404" spans="51:54" x14ac:dyDescent="0.25">
      <c r="AY404" s="7">
        <v>0</v>
      </c>
      <c r="AZ404" s="7" t="str">
        <f>"0"</f>
        <v>0</v>
      </c>
      <c r="BA404" t="str">
        <f ca="1">IF((OFFSET($A$1, 404 - 1, 51 - 1)) &gt;= (OFFSET($A$1, 77 - 1, 7 - 1)), "1","0")</f>
        <v>0</v>
      </c>
      <c r="BB404">
        <f ca="1" xml:space="preserve"> IF( AND( OFFSET($A$1, 404 - 1, 52 - 1) = "1", OFFSET($A$1, 404 - 1, 53 - 1) = "1" ), 1, IF( AND( OFFSET($A$1, 404 - 1, 52 - 1) = "1", OFFSET($A$1, 404 - 1, 53 - 1) = "0" ), 2, IF( AND( OFFSET($A$1, 404 - 1, 52 - 1) = "0", OFFSET($A$1, 404 - 1, 53 - 1) = "1" ), 3, 4 ) ) )</f>
        <v>4</v>
      </c>
    </row>
    <row r="405" spans="51:54" x14ac:dyDescent="0.25">
      <c r="AY405" s="7">
        <v>0</v>
      </c>
      <c r="AZ405" s="7" t="str">
        <f>"0"</f>
        <v>0</v>
      </c>
      <c r="BA405" t="str">
        <f ca="1">IF((OFFSET($A$1, 405 - 1, 51 - 1)) &gt;= (OFFSET($A$1, 77 - 1, 7 - 1)), "1","0")</f>
        <v>0</v>
      </c>
      <c r="BB405">
        <f ca="1" xml:space="preserve"> IF( AND( OFFSET($A$1, 405 - 1, 52 - 1) = "1", OFFSET($A$1, 405 - 1, 53 - 1) = "1" ), 1, IF( AND( OFFSET($A$1, 405 - 1, 52 - 1) = "1", OFFSET($A$1, 405 - 1, 53 - 1) = "0" ), 2, IF( AND( OFFSET($A$1, 405 - 1, 52 - 1) = "0", OFFSET($A$1, 405 - 1, 53 - 1) = "1" ), 3, 4 ) ) )</f>
        <v>4</v>
      </c>
    </row>
    <row r="406" spans="51:54" x14ac:dyDescent="0.25">
      <c r="AY406" s="7">
        <v>0.88235294117647056</v>
      </c>
      <c r="AZ406" s="7" t="str">
        <f>"1"</f>
        <v>1</v>
      </c>
      <c r="BA406" t="str">
        <f ca="1">IF((OFFSET($A$1, 406 - 1, 51 - 1)) &gt;= (OFFSET($A$1, 77 - 1, 7 - 1)), "1","0")</f>
        <v>1</v>
      </c>
      <c r="BB406">
        <f ca="1" xml:space="preserve"> IF( AND( OFFSET($A$1, 406 - 1, 52 - 1) = "1", OFFSET($A$1, 406 - 1, 53 - 1) = "1" ), 1, IF( AND( OFFSET($A$1, 406 - 1, 52 - 1) = "1", OFFSET($A$1, 406 - 1, 53 - 1) = "0" ), 2, IF( AND( OFFSET($A$1, 406 - 1, 52 - 1) = "0", OFFSET($A$1, 406 - 1, 53 - 1) = "1" ), 3, 4 ) ) )</f>
        <v>1</v>
      </c>
    </row>
    <row r="407" spans="51:54" x14ac:dyDescent="0.25">
      <c r="AY407" s="7">
        <v>0</v>
      </c>
      <c r="AZ407" s="7" t="str">
        <f>"0"</f>
        <v>0</v>
      </c>
      <c r="BA407" t="str">
        <f ca="1">IF((OFFSET($A$1, 407 - 1, 51 - 1)) &gt;= (OFFSET($A$1, 77 - 1, 7 - 1)), "1","0")</f>
        <v>0</v>
      </c>
      <c r="BB407">
        <f ca="1" xml:space="preserve"> IF( AND( OFFSET($A$1, 407 - 1, 52 - 1) = "1", OFFSET($A$1, 407 - 1, 53 - 1) = "1" ), 1, IF( AND( OFFSET($A$1, 407 - 1, 52 - 1) = "1", OFFSET($A$1, 407 - 1, 53 - 1) = "0" ), 2, IF( AND( OFFSET($A$1, 407 - 1, 52 - 1) = "0", OFFSET($A$1, 407 - 1, 53 - 1) = "1" ), 3, 4 ) ) )</f>
        <v>4</v>
      </c>
    </row>
    <row r="408" spans="51:54" x14ac:dyDescent="0.25">
      <c r="AY408" s="7">
        <v>0</v>
      </c>
      <c r="AZ408" s="7" t="str">
        <f>"0"</f>
        <v>0</v>
      </c>
      <c r="BA408" t="str">
        <f ca="1">IF((OFFSET($A$1, 408 - 1, 51 - 1)) &gt;= (OFFSET($A$1, 77 - 1, 7 - 1)), "1","0")</f>
        <v>0</v>
      </c>
      <c r="BB408">
        <f ca="1" xml:space="preserve"> IF( AND( OFFSET($A$1, 408 - 1, 52 - 1) = "1", OFFSET($A$1, 408 - 1, 53 - 1) = "1" ), 1, IF( AND( OFFSET($A$1, 408 - 1, 52 - 1) = "1", OFFSET($A$1, 408 - 1, 53 - 1) = "0" ), 2, IF( AND( OFFSET($A$1, 408 - 1, 52 - 1) = "0", OFFSET($A$1, 408 - 1, 53 - 1) = "1" ), 3, 4 ) ) )</f>
        <v>4</v>
      </c>
    </row>
    <row r="409" spans="51:54" x14ac:dyDescent="0.25">
      <c r="AY409" s="7">
        <v>0.70588235294117652</v>
      </c>
      <c r="AZ409" s="7" t="str">
        <f>"0"</f>
        <v>0</v>
      </c>
      <c r="BA409" t="str">
        <f ca="1">IF((OFFSET($A$1, 409 - 1, 51 - 1)) &gt;= (OFFSET($A$1, 77 - 1, 7 - 1)), "1","0")</f>
        <v>1</v>
      </c>
      <c r="BB409">
        <f ca="1" xml:space="preserve"> IF( AND( OFFSET($A$1, 409 - 1, 52 - 1) = "1", OFFSET($A$1, 409 - 1, 53 - 1) = "1" ), 1, IF( AND( OFFSET($A$1, 409 - 1, 52 - 1) = "1", OFFSET($A$1, 409 - 1, 53 - 1) = "0" ), 2, IF( AND( OFFSET($A$1, 409 - 1, 52 - 1) = "0", OFFSET($A$1, 409 - 1, 53 - 1) = "1" ), 3, 4 ) ) )</f>
        <v>3</v>
      </c>
    </row>
    <row r="410" spans="51:54" x14ac:dyDescent="0.25">
      <c r="AY410" s="7">
        <v>0</v>
      </c>
      <c r="AZ410" s="7" t="str">
        <f>"0"</f>
        <v>0</v>
      </c>
      <c r="BA410" t="str">
        <f ca="1">IF((OFFSET($A$1, 410 - 1, 51 - 1)) &gt;= (OFFSET($A$1, 77 - 1, 7 - 1)), "1","0")</f>
        <v>0</v>
      </c>
      <c r="BB410">
        <f ca="1" xml:space="preserve"> IF( AND( OFFSET($A$1, 410 - 1, 52 - 1) = "1", OFFSET($A$1, 410 - 1, 53 - 1) = "1" ), 1, IF( AND( OFFSET($A$1, 410 - 1, 52 - 1) = "1", OFFSET($A$1, 410 - 1, 53 - 1) = "0" ), 2, IF( AND( OFFSET($A$1, 410 - 1, 52 - 1) = "0", OFFSET($A$1, 410 - 1, 53 - 1) = "1" ), 3, 4 ) ) )</f>
        <v>4</v>
      </c>
    </row>
    <row r="411" spans="51:54" x14ac:dyDescent="0.25">
      <c r="AY411" s="7">
        <v>0</v>
      </c>
      <c r="AZ411" s="7" t="str">
        <f>"0"</f>
        <v>0</v>
      </c>
      <c r="BA411" t="str">
        <f ca="1">IF((OFFSET($A$1, 411 - 1, 51 - 1)) &gt;= (OFFSET($A$1, 77 - 1, 7 - 1)), "1","0")</f>
        <v>0</v>
      </c>
      <c r="BB411">
        <f ca="1" xml:space="preserve"> IF( AND( OFFSET($A$1, 411 - 1, 52 - 1) = "1", OFFSET($A$1, 411 - 1, 53 - 1) = "1" ), 1, IF( AND( OFFSET($A$1, 411 - 1, 52 - 1) = "1", OFFSET($A$1, 411 - 1, 53 - 1) = "0" ), 2, IF( AND( OFFSET($A$1, 411 - 1, 52 - 1) = "0", OFFSET($A$1, 411 - 1, 53 - 1) = "1" ), 3, 4 ) ) )</f>
        <v>4</v>
      </c>
    </row>
    <row r="412" spans="51:54" x14ac:dyDescent="0.25">
      <c r="AY412" s="7">
        <v>0.23529411764705882</v>
      </c>
      <c r="AZ412" s="7" t="str">
        <f>"0"</f>
        <v>0</v>
      </c>
      <c r="BA412" t="str">
        <f ca="1">IF((OFFSET($A$1, 412 - 1, 51 - 1)) &gt;= (OFFSET($A$1, 77 - 1, 7 - 1)), "1","0")</f>
        <v>0</v>
      </c>
      <c r="BB412">
        <f ca="1" xml:space="preserve"> IF( AND( OFFSET($A$1, 412 - 1, 52 - 1) = "1", OFFSET($A$1, 412 - 1, 53 - 1) = "1" ), 1, IF( AND( OFFSET($A$1, 412 - 1, 52 - 1) = "1", OFFSET($A$1, 412 - 1, 53 - 1) = "0" ), 2, IF( AND( OFFSET($A$1, 412 - 1, 52 - 1) = "0", OFFSET($A$1, 412 - 1, 53 - 1) = "1" ), 3, 4 ) ) )</f>
        <v>4</v>
      </c>
    </row>
    <row r="413" spans="51:54" x14ac:dyDescent="0.25">
      <c r="AY413" s="7">
        <v>5.8823529411764705E-2</v>
      </c>
      <c r="AZ413" s="7" t="str">
        <f>"0"</f>
        <v>0</v>
      </c>
      <c r="BA413" t="str">
        <f ca="1">IF((OFFSET($A$1, 413 - 1, 51 - 1)) &gt;= (OFFSET($A$1, 77 - 1, 7 - 1)), "1","0")</f>
        <v>0</v>
      </c>
      <c r="BB413">
        <f ca="1" xml:space="preserve"> IF( AND( OFFSET($A$1, 413 - 1, 52 - 1) = "1", OFFSET($A$1, 413 - 1, 53 - 1) = "1" ), 1, IF( AND( OFFSET($A$1, 413 - 1, 52 - 1) = "1", OFFSET($A$1, 413 - 1, 53 - 1) = "0" ), 2, IF( AND( OFFSET($A$1, 413 - 1, 52 - 1) = "0", OFFSET($A$1, 413 - 1, 53 - 1) = "1" ), 3, 4 ) ) )</f>
        <v>4</v>
      </c>
    </row>
    <row r="414" spans="51:54" x14ac:dyDescent="0.25">
      <c r="AY414" s="7">
        <v>0</v>
      </c>
      <c r="AZ414" s="7" t="str">
        <f>"0"</f>
        <v>0</v>
      </c>
      <c r="BA414" t="str">
        <f ca="1">IF((OFFSET($A$1, 414 - 1, 51 - 1)) &gt;= (OFFSET($A$1, 77 - 1, 7 - 1)), "1","0")</f>
        <v>0</v>
      </c>
      <c r="BB414">
        <f ca="1" xml:space="preserve"> IF( AND( OFFSET($A$1, 414 - 1, 52 - 1) = "1", OFFSET($A$1, 414 - 1, 53 - 1) = "1" ), 1, IF( AND( OFFSET($A$1, 414 - 1, 52 - 1) = "1", OFFSET($A$1, 414 - 1, 53 - 1) = "0" ), 2, IF( AND( OFFSET($A$1, 414 - 1, 52 - 1) = "0", OFFSET($A$1, 414 - 1, 53 - 1) = "1" ), 3, 4 ) ) )</f>
        <v>4</v>
      </c>
    </row>
    <row r="415" spans="51:54" x14ac:dyDescent="0.25">
      <c r="AY415" s="7">
        <v>0.76470588235294112</v>
      </c>
      <c r="AZ415" s="7" t="str">
        <f>"1"</f>
        <v>1</v>
      </c>
      <c r="BA415" t="str">
        <f ca="1">IF((OFFSET($A$1, 415 - 1, 51 - 1)) &gt;= (OFFSET($A$1, 77 - 1, 7 - 1)), "1","0")</f>
        <v>1</v>
      </c>
      <c r="BB415">
        <f ca="1" xml:space="preserve"> IF( AND( OFFSET($A$1, 415 - 1, 52 - 1) = "1", OFFSET($A$1, 415 - 1, 53 - 1) = "1" ), 1, IF( AND( OFFSET($A$1, 415 - 1, 52 - 1) = "1", OFFSET($A$1, 415 - 1, 53 - 1) = "0" ), 2, IF( AND( OFFSET($A$1, 415 - 1, 52 - 1) = "0", OFFSET($A$1, 415 - 1, 53 - 1) = "1" ), 3, 4 ) ) )</f>
        <v>1</v>
      </c>
    </row>
    <row r="416" spans="51:54" x14ac:dyDescent="0.25">
      <c r="AY416" s="7">
        <v>1</v>
      </c>
      <c r="AZ416" s="7" t="str">
        <f>"1"</f>
        <v>1</v>
      </c>
      <c r="BA416" t="str">
        <f ca="1">IF((OFFSET($A$1, 416 - 1, 51 - 1)) &gt;= (OFFSET($A$1, 77 - 1, 7 - 1)), "1","0")</f>
        <v>1</v>
      </c>
      <c r="BB416">
        <f ca="1" xml:space="preserve"> IF( AND( OFFSET($A$1, 416 - 1, 52 - 1) = "1", OFFSET($A$1, 416 - 1, 53 - 1) = "1" ), 1, IF( AND( OFFSET($A$1, 416 - 1, 52 - 1) = "1", OFFSET($A$1, 416 - 1, 53 - 1) = "0" ), 2, IF( AND( OFFSET($A$1, 416 - 1, 52 - 1) = "0", OFFSET($A$1, 416 - 1, 53 - 1) = "1" ), 3, 4 ) ) )</f>
        <v>1</v>
      </c>
    </row>
    <row r="417" spans="51:54" x14ac:dyDescent="0.25">
      <c r="AY417" s="7">
        <v>0</v>
      </c>
      <c r="AZ417" s="7" t="str">
        <f>"0"</f>
        <v>0</v>
      </c>
      <c r="BA417" t="str">
        <f ca="1">IF((OFFSET($A$1, 417 - 1, 51 - 1)) &gt;= (OFFSET($A$1, 77 - 1, 7 - 1)), "1","0")</f>
        <v>0</v>
      </c>
      <c r="BB417">
        <f ca="1" xml:space="preserve"> IF( AND( OFFSET($A$1, 417 - 1, 52 - 1) = "1", OFFSET($A$1, 417 - 1, 53 - 1) = "1" ), 1, IF( AND( OFFSET($A$1, 417 - 1, 52 - 1) = "1", OFFSET($A$1, 417 - 1, 53 - 1) = "0" ), 2, IF( AND( OFFSET($A$1, 417 - 1, 52 - 1) = "0", OFFSET($A$1, 417 - 1, 53 - 1) = "1" ), 3, 4 ) ) )</f>
        <v>4</v>
      </c>
    </row>
    <row r="418" spans="51:54" x14ac:dyDescent="0.25">
      <c r="AY418" s="7">
        <v>0.23529411764705882</v>
      </c>
      <c r="AZ418" s="7" t="str">
        <f>"0"</f>
        <v>0</v>
      </c>
      <c r="BA418" t="str">
        <f ca="1">IF((OFFSET($A$1, 418 - 1, 51 - 1)) &gt;= (OFFSET($A$1, 77 - 1, 7 - 1)), "1","0")</f>
        <v>0</v>
      </c>
      <c r="BB418">
        <f ca="1" xml:space="preserve"> IF( AND( OFFSET($A$1, 418 - 1, 52 - 1) = "1", OFFSET($A$1, 418 - 1, 53 - 1) = "1" ), 1, IF( AND( OFFSET($A$1, 418 - 1, 52 - 1) = "1", OFFSET($A$1, 418 - 1, 53 - 1) = "0" ), 2, IF( AND( OFFSET($A$1, 418 - 1, 52 - 1) = "0", OFFSET($A$1, 418 - 1, 53 - 1) = "1" ), 3, 4 ) ) )</f>
        <v>4</v>
      </c>
    </row>
    <row r="419" spans="51:54" x14ac:dyDescent="0.25">
      <c r="AY419" s="7">
        <v>0</v>
      </c>
      <c r="AZ419" s="7" t="str">
        <f>"0"</f>
        <v>0</v>
      </c>
      <c r="BA419" t="str">
        <f ca="1">IF((OFFSET($A$1, 419 - 1, 51 - 1)) &gt;= (OFFSET($A$1, 77 - 1, 7 - 1)), "1","0")</f>
        <v>0</v>
      </c>
      <c r="BB419">
        <f ca="1" xml:space="preserve"> IF( AND( OFFSET($A$1, 419 - 1, 52 - 1) = "1", OFFSET($A$1, 419 - 1, 53 - 1) = "1" ), 1, IF( AND( OFFSET($A$1, 419 - 1, 52 - 1) = "1", OFFSET($A$1, 419 - 1, 53 - 1) = "0" ), 2, IF( AND( OFFSET($A$1, 419 - 1, 52 - 1) = "0", OFFSET($A$1, 419 - 1, 53 - 1) = "1" ), 3, 4 ) ) )</f>
        <v>4</v>
      </c>
    </row>
    <row r="420" spans="51:54" x14ac:dyDescent="0.25">
      <c r="AY420" s="7">
        <v>0</v>
      </c>
      <c r="AZ420" s="7" t="str">
        <f>"0"</f>
        <v>0</v>
      </c>
      <c r="BA420" t="str">
        <f ca="1">IF((OFFSET($A$1, 420 - 1, 51 - 1)) &gt;= (OFFSET($A$1, 77 - 1, 7 - 1)), "1","0")</f>
        <v>0</v>
      </c>
      <c r="BB420">
        <f ca="1" xml:space="preserve"> IF( AND( OFFSET($A$1, 420 - 1, 52 - 1) = "1", OFFSET($A$1, 420 - 1, 53 - 1) = "1" ), 1, IF( AND( OFFSET($A$1, 420 - 1, 52 - 1) = "1", OFFSET($A$1, 420 - 1, 53 - 1) = "0" ), 2, IF( AND( OFFSET($A$1, 420 - 1, 52 - 1) = "0", OFFSET($A$1, 420 - 1, 53 - 1) = "1" ), 3, 4 ) ) )</f>
        <v>4</v>
      </c>
    </row>
    <row r="421" spans="51:54" x14ac:dyDescent="0.25">
      <c r="AY421" s="7">
        <v>0.17647058823529413</v>
      </c>
      <c r="AZ421" s="7" t="str">
        <f>"1"</f>
        <v>1</v>
      </c>
      <c r="BA421" t="str">
        <f ca="1">IF((OFFSET($A$1, 421 - 1, 51 - 1)) &gt;= (OFFSET($A$1, 77 - 1, 7 - 1)), "1","0")</f>
        <v>0</v>
      </c>
      <c r="BB421">
        <f ca="1" xml:space="preserve"> IF( AND( OFFSET($A$1, 421 - 1, 52 - 1) = "1", OFFSET($A$1, 421 - 1, 53 - 1) = "1" ), 1, IF( AND( OFFSET($A$1, 421 - 1, 52 - 1) = "1", OFFSET($A$1, 421 - 1, 53 - 1) = "0" ), 2, IF( AND( OFFSET($A$1, 421 - 1, 52 - 1) = "0", OFFSET($A$1, 421 - 1, 53 - 1) = "1" ), 3, 4 ) ) )</f>
        <v>2</v>
      </c>
    </row>
    <row r="422" spans="51:54" x14ac:dyDescent="0.25">
      <c r="AY422" s="7">
        <v>0</v>
      </c>
      <c r="AZ422" s="7" t="str">
        <f>"0"</f>
        <v>0</v>
      </c>
      <c r="BA422" t="str">
        <f ca="1">IF((OFFSET($A$1, 422 - 1, 51 - 1)) &gt;= (OFFSET($A$1, 77 - 1, 7 - 1)), "1","0")</f>
        <v>0</v>
      </c>
      <c r="BB422">
        <f ca="1" xml:space="preserve"> IF( AND( OFFSET($A$1, 422 - 1, 52 - 1) = "1", OFFSET($A$1, 422 - 1, 53 - 1) = "1" ), 1, IF( AND( OFFSET($A$1, 422 - 1, 52 - 1) = "1", OFFSET($A$1, 422 - 1, 53 - 1) = "0" ), 2, IF( AND( OFFSET($A$1, 422 - 1, 52 - 1) = "0", OFFSET($A$1, 422 - 1, 53 - 1) = "1" ), 3, 4 ) ) )</f>
        <v>4</v>
      </c>
    </row>
    <row r="423" spans="51:54" x14ac:dyDescent="0.25">
      <c r="AY423" s="7">
        <v>1</v>
      </c>
      <c r="AZ423" s="7" t="str">
        <f>"1"</f>
        <v>1</v>
      </c>
      <c r="BA423" t="str">
        <f ca="1">IF((OFFSET($A$1, 423 - 1, 51 - 1)) &gt;= (OFFSET($A$1, 77 - 1, 7 - 1)), "1","0")</f>
        <v>1</v>
      </c>
      <c r="BB423">
        <f ca="1" xml:space="preserve"> IF( AND( OFFSET($A$1, 423 - 1, 52 - 1) = "1", OFFSET($A$1, 423 - 1, 53 - 1) = "1" ), 1, IF( AND( OFFSET($A$1, 423 - 1, 52 - 1) = "1", OFFSET($A$1, 423 - 1, 53 - 1) = "0" ), 2, IF( AND( OFFSET($A$1, 423 - 1, 52 - 1) = "0", OFFSET($A$1, 423 - 1, 53 - 1) = "1" ), 3, 4 ) ) )</f>
        <v>1</v>
      </c>
    </row>
    <row r="424" spans="51:54" x14ac:dyDescent="0.25">
      <c r="AY424" s="7">
        <v>0</v>
      </c>
      <c r="AZ424" s="7" t="str">
        <f>"0"</f>
        <v>0</v>
      </c>
      <c r="BA424" t="str">
        <f ca="1">IF((OFFSET($A$1, 424 - 1, 51 - 1)) &gt;= (OFFSET($A$1, 77 - 1, 7 - 1)), "1","0")</f>
        <v>0</v>
      </c>
      <c r="BB424">
        <f ca="1" xml:space="preserve"> IF( AND( OFFSET($A$1, 424 - 1, 52 - 1) = "1", OFFSET($A$1, 424 - 1, 53 - 1) = "1" ), 1, IF( AND( OFFSET($A$1, 424 - 1, 52 - 1) = "1", OFFSET($A$1, 424 - 1, 53 - 1) = "0" ), 2, IF( AND( OFFSET($A$1, 424 - 1, 52 - 1) = "0", OFFSET($A$1, 424 - 1, 53 - 1) = "1" ), 3, 4 ) ) )</f>
        <v>4</v>
      </c>
    </row>
    <row r="425" spans="51:54" x14ac:dyDescent="0.25">
      <c r="AY425" s="7">
        <v>0</v>
      </c>
      <c r="AZ425" s="7" t="str">
        <f>"0"</f>
        <v>0</v>
      </c>
      <c r="BA425" t="str">
        <f ca="1">IF((OFFSET($A$1, 425 - 1, 51 - 1)) &gt;= (OFFSET($A$1, 77 - 1, 7 - 1)), "1","0")</f>
        <v>0</v>
      </c>
      <c r="BB425">
        <f ca="1" xml:space="preserve"> IF( AND( OFFSET($A$1, 425 - 1, 52 - 1) = "1", OFFSET($A$1, 425 - 1, 53 - 1) = "1" ), 1, IF( AND( OFFSET($A$1, 425 - 1, 52 - 1) = "1", OFFSET($A$1, 425 - 1, 53 - 1) = "0" ), 2, IF( AND( OFFSET($A$1, 425 - 1, 52 - 1) = "0", OFFSET($A$1, 425 - 1, 53 - 1) = "1" ), 3, 4 ) ) )</f>
        <v>4</v>
      </c>
    </row>
    <row r="426" spans="51:54" x14ac:dyDescent="0.25">
      <c r="AY426" s="7">
        <v>5.8823529411764705E-2</v>
      </c>
      <c r="AZ426" s="7" t="str">
        <f>"0"</f>
        <v>0</v>
      </c>
      <c r="BA426" t="str">
        <f ca="1">IF((OFFSET($A$1, 426 - 1, 51 - 1)) &gt;= (OFFSET($A$1, 77 - 1, 7 - 1)), "1","0")</f>
        <v>0</v>
      </c>
      <c r="BB426">
        <f ca="1" xml:space="preserve"> IF( AND( OFFSET($A$1, 426 - 1, 52 - 1) = "1", OFFSET($A$1, 426 - 1, 53 - 1) = "1" ), 1, IF( AND( OFFSET($A$1, 426 - 1, 52 - 1) = "1", OFFSET($A$1, 426 - 1, 53 - 1) = "0" ), 2, IF( AND( OFFSET($A$1, 426 - 1, 52 - 1) = "0", OFFSET($A$1, 426 - 1, 53 - 1) = "1" ), 3, 4 ) ) )</f>
        <v>4</v>
      </c>
    </row>
    <row r="427" spans="51:54" x14ac:dyDescent="0.25">
      <c r="AY427" s="7">
        <v>0.17647058823529413</v>
      </c>
      <c r="AZ427" s="7" t="str">
        <f>"0"</f>
        <v>0</v>
      </c>
      <c r="BA427" t="str">
        <f ca="1">IF((OFFSET($A$1, 427 - 1, 51 - 1)) &gt;= (OFFSET($A$1, 77 - 1, 7 - 1)), "1","0")</f>
        <v>0</v>
      </c>
      <c r="BB427">
        <f ca="1" xml:space="preserve"> IF( AND( OFFSET($A$1, 427 - 1, 52 - 1) = "1", OFFSET($A$1, 427 - 1, 53 - 1) = "1" ), 1, IF( AND( OFFSET($A$1, 427 - 1, 52 - 1) = "1", OFFSET($A$1, 427 - 1, 53 - 1) = "0" ), 2, IF( AND( OFFSET($A$1, 427 - 1, 52 - 1) = "0", OFFSET($A$1, 427 - 1, 53 - 1) = "1" ), 3, 4 ) ) )</f>
        <v>4</v>
      </c>
    </row>
    <row r="428" spans="51:54" x14ac:dyDescent="0.25">
      <c r="AY428" s="7">
        <v>0</v>
      </c>
      <c r="AZ428" s="7" t="str">
        <f>"0"</f>
        <v>0</v>
      </c>
      <c r="BA428" t="str">
        <f ca="1">IF((OFFSET($A$1, 428 - 1, 51 - 1)) &gt;= (OFFSET($A$1, 77 - 1, 7 - 1)), "1","0")</f>
        <v>0</v>
      </c>
      <c r="BB428">
        <f ca="1" xml:space="preserve"> IF( AND( OFFSET($A$1, 428 - 1, 52 - 1) = "1", OFFSET($A$1, 428 - 1, 53 - 1) = "1" ), 1, IF( AND( OFFSET($A$1, 428 - 1, 52 - 1) = "1", OFFSET($A$1, 428 - 1, 53 - 1) = "0" ), 2, IF( AND( OFFSET($A$1, 428 - 1, 52 - 1) = "0", OFFSET($A$1, 428 - 1, 53 - 1) = "1" ), 3, 4 ) ) )</f>
        <v>4</v>
      </c>
    </row>
    <row r="429" spans="51:54" x14ac:dyDescent="0.25">
      <c r="AY429" s="7">
        <v>0.6470588235294118</v>
      </c>
      <c r="AZ429" s="7" t="str">
        <f>"1"</f>
        <v>1</v>
      </c>
      <c r="BA429" t="str">
        <f ca="1">IF((OFFSET($A$1, 429 - 1, 51 - 1)) &gt;= (OFFSET($A$1, 77 - 1, 7 - 1)), "1","0")</f>
        <v>1</v>
      </c>
      <c r="BB429">
        <f ca="1" xml:space="preserve"> IF( AND( OFFSET($A$1, 429 - 1, 52 - 1) = "1", OFFSET($A$1, 429 - 1, 53 - 1) = "1" ), 1, IF( AND( OFFSET($A$1, 429 - 1, 52 - 1) = "1", OFFSET($A$1, 429 - 1, 53 - 1) = "0" ), 2, IF( AND( OFFSET($A$1, 429 - 1, 52 - 1) = "0", OFFSET($A$1, 429 - 1, 53 - 1) = "1" ), 3, 4 ) ) )</f>
        <v>1</v>
      </c>
    </row>
    <row r="430" spans="51:54" x14ac:dyDescent="0.25">
      <c r="AY430" s="7">
        <v>1</v>
      </c>
      <c r="AZ430" s="7" t="str">
        <f>"1"</f>
        <v>1</v>
      </c>
      <c r="BA430" t="str">
        <f ca="1">IF((OFFSET($A$1, 430 - 1, 51 - 1)) &gt;= (OFFSET($A$1, 77 - 1, 7 - 1)), "1","0")</f>
        <v>1</v>
      </c>
      <c r="BB430">
        <f ca="1" xml:space="preserve"> IF( AND( OFFSET($A$1, 430 - 1, 52 - 1) = "1", OFFSET($A$1, 430 - 1, 53 - 1) = "1" ), 1, IF( AND( OFFSET($A$1, 430 - 1, 52 - 1) = "1", OFFSET($A$1, 430 - 1, 53 - 1) = "0" ), 2, IF( AND( OFFSET($A$1, 430 - 1, 52 - 1) = "0", OFFSET($A$1, 430 - 1, 53 - 1) = "1" ), 3, 4 ) ) )</f>
        <v>1</v>
      </c>
    </row>
    <row r="431" spans="51:54" x14ac:dyDescent="0.25">
      <c r="AY431" s="7">
        <v>5.8823529411764705E-2</v>
      </c>
      <c r="AZ431" s="7" t="str">
        <f>"0"</f>
        <v>0</v>
      </c>
      <c r="BA431" t="str">
        <f ca="1">IF((OFFSET($A$1, 431 - 1, 51 - 1)) &gt;= (OFFSET($A$1, 77 - 1, 7 - 1)), "1","0")</f>
        <v>0</v>
      </c>
      <c r="BB431">
        <f ca="1" xml:space="preserve"> IF( AND( OFFSET($A$1, 431 - 1, 52 - 1) = "1", OFFSET($A$1, 431 - 1, 53 - 1) = "1" ), 1, IF( AND( OFFSET($A$1, 431 - 1, 52 - 1) = "1", OFFSET($A$1, 431 - 1, 53 - 1) = "0" ), 2, IF( AND( OFFSET($A$1, 431 - 1, 52 - 1) = "0", OFFSET($A$1, 431 - 1, 53 - 1) = "1" ), 3, 4 ) ) )</f>
        <v>4</v>
      </c>
    </row>
    <row r="432" spans="51:54" x14ac:dyDescent="0.25">
      <c r="AY432" s="7">
        <v>0</v>
      </c>
      <c r="AZ432" s="7" t="str">
        <f>"0"</f>
        <v>0</v>
      </c>
      <c r="BA432" t="str">
        <f ca="1">IF((OFFSET($A$1, 432 - 1, 51 - 1)) &gt;= (OFFSET($A$1, 77 - 1, 7 - 1)), "1","0")</f>
        <v>0</v>
      </c>
      <c r="BB432">
        <f ca="1" xml:space="preserve"> IF( AND( OFFSET($A$1, 432 - 1, 52 - 1) = "1", OFFSET($A$1, 432 - 1, 53 - 1) = "1" ), 1, IF( AND( OFFSET($A$1, 432 - 1, 52 - 1) = "1", OFFSET($A$1, 432 - 1, 53 - 1) = "0" ), 2, IF( AND( OFFSET($A$1, 432 - 1, 52 - 1) = "0", OFFSET($A$1, 432 - 1, 53 - 1) = "1" ), 3, 4 ) ) )</f>
        <v>4</v>
      </c>
    </row>
    <row r="433" spans="51:54" x14ac:dyDescent="0.25">
      <c r="AY433" s="7">
        <v>5.8823529411764705E-2</v>
      </c>
      <c r="AZ433" s="7" t="str">
        <f>"0"</f>
        <v>0</v>
      </c>
      <c r="BA433" t="str">
        <f ca="1">IF((OFFSET($A$1, 433 - 1, 51 - 1)) &gt;= (OFFSET($A$1, 77 - 1, 7 - 1)), "1","0")</f>
        <v>0</v>
      </c>
      <c r="BB433">
        <f ca="1" xml:space="preserve"> IF( AND( OFFSET($A$1, 433 - 1, 52 - 1) = "1", OFFSET($A$1, 433 - 1, 53 - 1) = "1" ), 1, IF( AND( OFFSET($A$1, 433 - 1, 52 - 1) = "1", OFFSET($A$1, 433 - 1, 53 - 1) = "0" ), 2, IF( AND( OFFSET($A$1, 433 - 1, 52 - 1) = "0", OFFSET($A$1, 433 - 1, 53 - 1) = "1" ), 3, 4 ) ) )</f>
        <v>4</v>
      </c>
    </row>
    <row r="434" spans="51:54" x14ac:dyDescent="0.25">
      <c r="AY434" s="7">
        <v>0.70588235294117652</v>
      </c>
      <c r="AZ434" s="7" t="str">
        <f>"1"</f>
        <v>1</v>
      </c>
      <c r="BA434" t="str">
        <f ca="1">IF((OFFSET($A$1, 434 - 1, 51 - 1)) &gt;= (OFFSET($A$1, 77 - 1, 7 - 1)), "1","0")</f>
        <v>1</v>
      </c>
      <c r="BB434">
        <f ca="1" xml:space="preserve"> IF( AND( OFFSET($A$1, 434 - 1, 52 - 1) = "1", OFFSET($A$1, 434 - 1, 53 - 1) = "1" ), 1, IF( AND( OFFSET($A$1, 434 - 1, 52 - 1) = "1", OFFSET($A$1, 434 - 1, 53 - 1) = "0" ), 2, IF( AND( OFFSET($A$1, 434 - 1, 52 - 1) = "0", OFFSET($A$1, 434 - 1, 53 - 1) = "1" ), 3, 4 ) ) )</f>
        <v>1</v>
      </c>
    </row>
    <row r="435" spans="51:54" x14ac:dyDescent="0.25">
      <c r="AY435" s="7">
        <v>0.29411764705882354</v>
      </c>
      <c r="AZ435" s="7" t="str">
        <f>"0"</f>
        <v>0</v>
      </c>
      <c r="BA435" t="str">
        <f ca="1">IF((OFFSET($A$1, 435 - 1, 51 - 1)) &gt;= (OFFSET($A$1, 77 - 1, 7 - 1)), "1","0")</f>
        <v>0</v>
      </c>
      <c r="BB435">
        <f ca="1" xml:space="preserve"> IF( AND( OFFSET($A$1, 435 - 1, 52 - 1) = "1", OFFSET($A$1, 435 - 1, 53 - 1) = "1" ), 1, IF( AND( OFFSET($A$1, 435 - 1, 52 - 1) = "1", OFFSET($A$1, 435 - 1, 53 - 1) = "0" ), 2, IF( AND( OFFSET($A$1, 435 - 1, 52 - 1) = "0", OFFSET($A$1, 435 - 1, 53 - 1) = "1" ), 3, 4 ) ) )</f>
        <v>4</v>
      </c>
    </row>
    <row r="436" spans="51:54" x14ac:dyDescent="0.25">
      <c r="AY436" s="7">
        <v>0</v>
      </c>
      <c r="AZ436" s="7" t="str">
        <f>"0"</f>
        <v>0</v>
      </c>
      <c r="BA436" t="str">
        <f ca="1">IF((OFFSET($A$1, 436 - 1, 51 - 1)) &gt;= (OFFSET($A$1, 77 - 1, 7 - 1)), "1","0")</f>
        <v>0</v>
      </c>
      <c r="BB436">
        <f ca="1" xml:space="preserve"> IF( AND( OFFSET($A$1, 436 - 1, 52 - 1) = "1", OFFSET($A$1, 436 - 1, 53 - 1) = "1" ), 1, IF( AND( OFFSET($A$1, 436 - 1, 52 - 1) = "1", OFFSET($A$1, 436 - 1, 53 - 1) = "0" ), 2, IF( AND( OFFSET($A$1, 436 - 1, 52 - 1) = "0", OFFSET($A$1, 436 - 1, 53 - 1) = "1" ), 3, 4 ) ) )</f>
        <v>4</v>
      </c>
    </row>
    <row r="437" spans="51:54" x14ac:dyDescent="0.25">
      <c r="AY437" s="7">
        <v>0</v>
      </c>
      <c r="AZ437" s="7" t="str">
        <f>"0"</f>
        <v>0</v>
      </c>
      <c r="BA437" t="str">
        <f ca="1">IF((OFFSET($A$1, 437 - 1, 51 - 1)) &gt;= (OFFSET($A$1, 77 - 1, 7 - 1)), "1","0")</f>
        <v>0</v>
      </c>
      <c r="BB437">
        <f ca="1" xml:space="preserve"> IF( AND( OFFSET($A$1, 437 - 1, 52 - 1) = "1", OFFSET($A$1, 437 - 1, 53 - 1) = "1" ), 1, IF( AND( OFFSET($A$1, 437 - 1, 52 - 1) = "1", OFFSET($A$1, 437 - 1, 53 - 1) = "0" ), 2, IF( AND( OFFSET($A$1, 437 - 1, 52 - 1) = "0", OFFSET($A$1, 437 - 1, 53 - 1) = "1" ), 3, 4 ) ) )</f>
        <v>4</v>
      </c>
    </row>
    <row r="438" spans="51:54" x14ac:dyDescent="0.25">
      <c r="AY438" s="7">
        <v>0</v>
      </c>
      <c r="AZ438" s="7" t="str">
        <f>"0"</f>
        <v>0</v>
      </c>
      <c r="BA438" t="str">
        <f ca="1">IF((OFFSET($A$1, 438 - 1, 51 - 1)) &gt;= (OFFSET($A$1, 77 - 1, 7 - 1)), "1","0")</f>
        <v>0</v>
      </c>
      <c r="BB438">
        <f ca="1" xml:space="preserve"> IF( AND( OFFSET($A$1, 438 - 1, 52 - 1) = "1", OFFSET($A$1, 438 - 1, 53 - 1) = "1" ), 1, IF( AND( OFFSET($A$1, 438 - 1, 52 - 1) = "1", OFFSET($A$1, 438 - 1, 53 - 1) = "0" ), 2, IF( AND( OFFSET($A$1, 438 - 1, 52 - 1) = "0", OFFSET($A$1, 438 - 1, 53 - 1) = "1" ), 3, 4 ) ) )</f>
        <v>4</v>
      </c>
    </row>
    <row r="439" spans="51:54" x14ac:dyDescent="0.25">
      <c r="AY439" s="7">
        <v>0</v>
      </c>
      <c r="AZ439" s="7" t="str">
        <f>"0"</f>
        <v>0</v>
      </c>
      <c r="BA439" t="str">
        <f ca="1">IF((OFFSET($A$1, 439 - 1, 51 - 1)) &gt;= (OFFSET($A$1, 77 - 1, 7 - 1)), "1","0")</f>
        <v>0</v>
      </c>
      <c r="BB439">
        <f ca="1" xml:space="preserve"> IF( AND( OFFSET($A$1, 439 - 1, 52 - 1) = "1", OFFSET($A$1, 439 - 1, 53 - 1) = "1" ), 1, IF( AND( OFFSET($A$1, 439 - 1, 52 - 1) = "1", OFFSET($A$1, 439 - 1, 53 - 1) = "0" ), 2, IF( AND( OFFSET($A$1, 439 - 1, 52 - 1) = "0", OFFSET($A$1, 439 - 1, 53 - 1) = "1" ), 3, 4 ) ) )</f>
        <v>4</v>
      </c>
    </row>
    <row r="440" spans="51:54" x14ac:dyDescent="0.25">
      <c r="AY440" s="7">
        <v>1</v>
      </c>
      <c r="AZ440" s="7" t="str">
        <f>"1"</f>
        <v>1</v>
      </c>
      <c r="BA440" t="str">
        <f ca="1">IF((OFFSET($A$1, 440 - 1, 51 - 1)) &gt;= (OFFSET($A$1, 77 - 1, 7 - 1)), "1","0")</f>
        <v>1</v>
      </c>
      <c r="BB440">
        <f ca="1" xml:space="preserve"> IF( AND( OFFSET($A$1, 440 - 1, 52 - 1) = "1", OFFSET($A$1, 440 - 1, 53 - 1) = "1" ), 1, IF( AND( OFFSET($A$1, 440 - 1, 52 - 1) = "1", OFFSET($A$1, 440 - 1, 53 - 1) = "0" ), 2, IF( AND( OFFSET($A$1, 440 - 1, 52 - 1) = "0", OFFSET($A$1, 440 - 1, 53 - 1) = "1" ), 3, 4 ) ) )</f>
        <v>1</v>
      </c>
    </row>
    <row r="441" spans="51:54" x14ac:dyDescent="0.25">
      <c r="AY441" s="7">
        <v>0</v>
      </c>
      <c r="AZ441" s="7" t="str">
        <f>"0"</f>
        <v>0</v>
      </c>
      <c r="BA441" t="str">
        <f ca="1">IF((OFFSET($A$1, 441 - 1, 51 - 1)) &gt;= (OFFSET($A$1, 77 - 1, 7 - 1)), "1","0")</f>
        <v>0</v>
      </c>
      <c r="BB441">
        <f ca="1" xml:space="preserve"> IF( AND( OFFSET($A$1, 441 - 1, 52 - 1) = "1", OFFSET($A$1, 441 - 1, 53 - 1) = "1" ), 1, IF( AND( OFFSET($A$1, 441 - 1, 52 - 1) = "1", OFFSET($A$1, 441 - 1, 53 - 1) = "0" ), 2, IF( AND( OFFSET($A$1, 441 - 1, 52 - 1) = "0", OFFSET($A$1, 441 - 1, 53 - 1) = "1" ), 3, 4 ) ) )</f>
        <v>4</v>
      </c>
    </row>
    <row r="442" spans="51:54" x14ac:dyDescent="0.25">
      <c r="AY442" s="7">
        <v>0.88235294117647056</v>
      </c>
      <c r="AZ442" s="7" t="str">
        <f>"1"</f>
        <v>1</v>
      </c>
      <c r="BA442" t="str">
        <f ca="1">IF((OFFSET($A$1, 442 - 1, 51 - 1)) &gt;= (OFFSET($A$1, 77 - 1, 7 - 1)), "1","0")</f>
        <v>1</v>
      </c>
      <c r="BB442">
        <f ca="1" xml:space="preserve"> IF( AND( OFFSET($A$1, 442 - 1, 52 - 1) = "1", OFFSET($A$1, 442 - 1, 53 - 1) = "1" ), 1, IF( AND( OFFSET($A$1, 442 - 1, 52 - 1) = "1", OFFSET($A$1, 442 - 1, 53 - 1) = "0" ), 2, IF( AND( OFFSET($A$1, 442 - 1, 52 - 1) = "0", OFFSET($A$1, 442 - 1, 53 - 1) = "1" ), 3, 4 ) ) )</f>
        <v>1</v>
      </c>
    </row>
    <row r="443" spans="51:54" x14ac:dyDescent="0.25">
      <c r="AY443" s="7">
        <v>0.41176470588235292</v>
      </c>
      <c r="AZ443" s="7" t="str">
        <f>"1"</f>
        <v>1</v>
      </c>
      <c r="BA443" t="str">
        <f ca="1">IF((OFFSET($A$1, 443 - 1, 51 - 1)) &gt;= (OFFSET($A$1, 77 - 1, 7 - 1)), "1","0")</f>
        <v>0</v>
      </c>
      <c r="BB443">
        <f ca="1" xml:space="preserve"> IF( AND( OFFSET($A$1, 443 - 1, 52 - 1) = "1", OFFSET($A$1, 443 - 1, 53 - 1) = "1" ), 1, IF( AND( OFFSET($A$1, 443 - 1, 52 - 1) = "1", OFFSET($A$1, 443 - 1, 53 - 1) = "0" ), 2, IF( AND( OFFSET($A$1, 443 - 1, 52 - 1) = "0", OFFSET($A$1, 443 - 1, 53 - 1) = "1" ), 3, 4 ) ) )</f>
        <v>2</v>
      </c>
    </row>
    <row r="444" spans="51:54" x14ac:dyDescent="0.25">
      <c r="AY444" s="7">
        <v>0.47058823529411764</v>
      </c>
      <c r="AZ444" s="7" t="str">
        <f>"0"</f>
        <v>0</v>
      </c>
      <c r="BA444" t="str">
        <f ca="1">IF((OFFSET($A$1, 444 - 1, 51 - 1)) &gt;= (OFFSET($A$1, 77 - 1, 7 - 1)), "1","0")</f>
        <v>0</v>
      </c>
      <c r="BB444">
        <f ca="1" xml:space="preserve"> IF( AND( OFFSET($A$1, 444 - 1, 52 - 1) = "1", OFFSET($A$1, 444 - 1, 53 - 1) = "1" ), 1, IF( AND( OFFSET($A$1, 444 - 1, 52 - 1) = "1", OFFSET($A$1, 444 - 1, 53 - 1) = "0" ), 2, IF( AND( OFFSET($A$1, 444 - 1, 52 - 1) = "0", OFFSET($A$1, 444 - 1, 53 - 1) = "1" ), 3, 4 ) ) )</f>
        <v>4</v>
      </c>
    </row>
    <row r="445" spans="51:54" x14ac:dyDescent="0.25">
      <c r="AY445" s="7">
        <v>0</v>
      </c>
      <c r="AZ445" s="7" t="str">
        <f>"0"</f>
        <v>0</v>
      </c>
      <c r="BA445" t="str">
        <f ca="1">IF((OFFSET($A$1, 445 - 1, 51 - 1)) &gt;= (OFFSET($A$1, 77 - 1, 7 - 1)), "1","0")</f>
        <v>0</v>
      </c>
      <c r="BB445">
        <f ca="1" xml:space="preserve"> IF( AND( OFFSET($A$1, 445 - 1, 52 - 1) = "1", OFFSET($A$1, 445 - 1, 53 - 1) = "1" ), 1, IF( AND( OFFSET($A$1, 445 - 1, 52 - 1) = "1", OFFSET($A$1, 445 - 1, 53 - 1) = "0" ), 2, IF( AND( OFFSET($A$1, 445 - 1, 52 - 1) = "0", OFFSET($A$1, 445 - 1, 53 - 1) = "1" ), 3, 4 ) ) )</f>
        <v>4</v>
      </c>
    </row>
    <row r="446" spans="51:54" x14ac:dyDescent="0.25">
      <c r="AY446" s="7">
        <v>0</v>
      </c>
      <c r="AZ446" s="7" t="str">
        <f>"0"</f>
        <v>0</v>
      </c>
      <c r="BA446" t="str">
        <f ca="1">IF((OFFSET($A$1, 446 - 1, 51 - 1)) &gt;= (OFFSET($A$1, 77 - 1, 7 - 1)), "1","0")</f>
        <v>0</v>
      </c>
      <c r="BB446">
        <f ca="1" xml:space="preserve"> IF( AND( OFFSET($A$1, 446 - 1, 52 - 1) = "1", OFFSET($A$1, 446 - 1, 53 - 1) = "1" ), 1, IF( AND( OFFSET($A$1, 446 - 1, 52 - 1) = "1", OFFSET($A$1, 446 - 1, 53 - 1) = "0" ), 2, IF( AND( OFFSET($A$1, 446 - 1, 52 - 1) = "0", OFFSET($A$1, 446 - 1, 53 - 1) = "1" ), 3, 4 ) ) )</f>
        <v>4</v>
      </c>
    </row>
    <row r="447" spans="51:54" x14ac:dyDescent="0.25">
      <c r="AY447" s="7">
        <v>0.94117647058823528</v>
      </c>
      <c r="AZ447" s="7" t="str">
        <f>"1"</f>
        <v>1</v>
      </c>
      <c r="BA447" t="str">
        <f ca="1">IF((OFFSET($A$1, 447 - 1, 51 - 1)) &gt;= (OFFSET($A$1, 77 - 1, 7 - 1)), "1","0")</f>
        <v>1</v>
      </c>
      <c r="BB447">
        <f ca="1" xml:space="preserve"> IF( AND( OFFSET($A$1, 447 - 1, 52 - 1) = "1", OFFSET($A$1, 447 - 1, 53 - 1) = "1" ), 1, IF( AND( OFFSET($A$1, 447 - 1, 52 - 1) = "1", OFFSET($A$1, 447 - 1, 53 - 1) = "0" ), 2, IF( AND( OFFSET($A$1, 447 - 1, 52 - 1) = "0", OFFSET($A$1, 447 - 1, 53 - 1) = "1" ), 3, 4 ) ) )</f>
        <v>1</v>
      </c>
    </row>
    <row r="448" spans="51:54" x14ac:dyDescent="0.25">
      <c r="AY448" s="7">
        <v>0</v>
      </c>
      <c r="AZ448" s="7" t="str">
        <f>"0"</f>
        <v>0</v>
      </c>
      <c r="BA448" t="str">
        <f ca="1">IF((OFFSET($A$1, 448 - 1, 51 - 1)) &gt;= (OFFSET($A$1, 77 - 1, 7 - 1)), "1","0")</f>
        <v>0</v>
      </c>
      <c r="BB448">
        <f ca="1" xml:space="preserve"> IF( AND( OFFSET($A$1, 448 - 1, 52 - 1) = "1", OFFSET($A$1, 448 - 1, 53 - 1) = "1" ), 1, IF( AND( OFFSET($A$1, 448 - 1, 52 - 1) = "1", OFFSET($A$1, 448 - 1, 53 - 1) = "0" ), 2, IF( AND( OFFSET($A$1, 448 - 1, 52 - 1) = "0", OFFSET($A$1, 448 - 1, 53 - 1) = "1" ), 3, 4 ) ) )</f>
        <v>4</v>
      </c>
    </row>
    <row r="449" spans="51:54" x14ac:dyDescent="0.25">
      <c r="AY449" s="7">
        <v>1</v>
      </c>
      <c r="AZ449" s="7" t="str">
        <f>"1"</f>
        <v>1</v>
      </c>
      <c r="BA449" t="str">
        <f ca="1">IF((OFFSET($A$1, 449 - 1, 51 - 1)) &gt;= (OFFSET($A$1, 77 - 1, 7 - 1)), "1","0")</f>
        <v>1</v>
      </c>
      <c r="BB449">
        <f ca="1" xml:space="preserve"> IF( AND( OFFSET($A$1, 449 - 1, 52 - 1) = "1", OFFSET($A$1, 449 - 1, 53 - 1) = "1" ), 1, IF( AND( OFFSET($A$1, 449 - 1, 52 - 1) = "1", OFFSET($A$1, 449 - 1, 53 - 1) = "0" ), 2, IF( AND( OFFSET($A$1, 449 - 1, 52 - 1) = "0", OFFSET($A$1, 449 - 1, 53 - 1) = "1" ), 3, 4 ) ) )</f>
        <v>1</v>
      </c>
    </row>
    <row r="450" spans="51:54" x14ac:dyDescent="0.25">
      <c r="AY450" s="7">
        <v>0</v>
      </c>
      <c r="AZ450" s="7" t="str">
        <f>"0"</f>
        <v>0</v>
      </c>
      <c r="BA450" t="str">
        <f ca="1">IF((OFFSET($A$1, 450 - 1, 51 - 1)) &gt;= (OFFSET($A$1, 77 - 1, 7 - 1)), "1","0")</f>
        <v>0</v>
      </c>
      <c r="BB450">
        <f ca="1" xml:space="preserve"> IF( AND( OFFSET($A$1, 450 - 1, 52 - 1) = "1", OFFSET($A$1, 450 - 1, 53 - 1) = "1" ), 1, IF( AND( OFFSET($A$1, 450 - 1, 52 - 1) = "1", OFFSET($A$1, 450 - 1, 53 - 1) = "0" ), 2, IF( AND( OFFSET($A$1, 450 - 1, 52 - 1) = "0", OFFSET($A$1, 450 - 1, 53 - 1) = "1" ), 3, 4 ) ) )</f>
        <v>4</v>
      </c>
    </row>
    <row r="451" spans="51:54" x14ac:dyDescent="0.25">
      <c r="AY451" s="7">
        <v>0.11764705882352941</v>
      </c>
      <c r="AZ451" s="7" t="str">
        <f>"0"</f>
        <v>0</v>
      </c>
      <c r="BA451" t="str">
        <f ca="1">IF((OFFSET($A$1, 451 - 1, 51 - 1)) &gt;= (OFFSET($A$1, 77 - 1, 7 - 1)), "1","0")</f>
        <v>0</v>
      </c>
      <c r="BB451">
        <f ca="1" xml:space="preserve"> IF( AND( OFFSET($A$1, 451 - 1, 52 - 1) = "1", OFFSET($A$1, 451 - 1, 53 - 1) = "1" ), 1, IF( AND( OFFSET($A$1, 451 - 1, 52 - 1) = "1", OFFSET($A$1, 451 - 1, 53 - 1) = "0" ), 2, IF( AND( OFFSET($A$1, 451 - 1, 52 - 1) = "0", OFFSET($A$1, 451 - 1, 53 - 1) = "1" ), 3, 4 ) ) )</f>
        <v>4</v>
      </c>
    </row>
    <row r="452" spans="51:54" x14ac:dyDescent="0.25">
      <c r="AY452" s="7">
        <v>0.29411764705882354</v>
      </c>
      <c r="AZ452" s="7" t="str">
        <f>"1"</f>
        <v>1</v>
      </c>
      <c r="BA452" t="str">
        <f ca="1">IF((OFFSET($A$1, 452 - 1, 51 - 1)) &gt;= (OFFSET($A$1, 77 - 1, 7 - 1)), "1","0")</f>
        <v>0</v>
      </c>
      <c r="BB452">
        <f ca="1" xml:space="preserve"> IF( AND( OFFSET($A$1, 452 - 1, 52 - 1) = "1", OFFSET($A$1, 452 - 1, 53 - 1) = "1" ), 1, IF( AND( OFFSET($A$1, 452 - 1, 52 - 1) = "1", OFFSET($A$1, 452 - 1, 53 - 1) = "0" ), 2, IF( AND( OFFSET($A$1, 452 - 1, 52 - 1) = "0", OFFSET($A$1, 452 - 1, 53 - 1) = "1" ), 3, 4 ) ) )</f>
        <v>2</v>
      </c>
    </row>
    <row r="453" spans="51:54" x14ac:dyDescent="0.25">
      <c r="AY453" s="7">
        <v>1</v>
      </c>
      <c r="AZ453" s="7" t="str">
        <f>"1"</f>
        <v>1</v>
      </c>
      <c r="BA453" t="str">
        <f ca="1">IF((OFFSET($A$1, 453 - 1, 51 - 1)) &gt;= (OFFSET($A$1, 77 - 1, 7 - 1)), "1","0")</f>
        <v>1</v>
      </c>
      <c r="BB453">
        <f ca="1" xml:space="preserve"> IF( AND( OFFSET($A$1, 453 - 1, 52 - 1) = "1", OFFSET($A$1, 453 - 1, 53 - 1) = "1" ), 1, IF( AND( OFFSET($A$1, 453 - 1, 52 - 1) = "1", OFFSET($A$1, 453 - 1, 53 - 1) = "0" ), 2, IF( AND( OFFSET($A$1, 453 - 1, 52 - 1) = "0", OFFSET($A$1, 453 - 1, 53 - 1) = "1" ), 3, 4 ) ) )</f>
        <v>1</v>
      </c>
    </row>
    <row r="454" spans="51:54" x14ac:dyDescent="0.25">
      <c r="AY454" s="7">
        <v>0</v>
      </c>
      <c r="AZ454" s="7" t="str">
        <f>"0"</f>
        <v>0</v>
      </c>
      <c r="BA454" t="str">
        <f ca="1">IF((OFFSET($A$1, 454 - 1, 51 - 1)) &gt;= (OFFSET($A$1, 77 - 1, 7 - 1)), "1","0")</f>
        <v>0</v>
      </c>
      <c r="BB454">
        <f ca="1" xml:space="preserve"> IF( AND( OFFSET($A$1, 454 - 1, 52 - 1) = "1", OFFSET($A$1, 454 - 1, 53 - 1) = "1" ), 1, IF( AND( OFFSET($A$1, 454 - 1, 52 - 1) = "1", OFFSET($A$1, 454 - 1, 53 - 1) = "0" ), 2, IF( AND( OFFSET($A$1, 454 - 1, 52 - 1) = "0", OFFSET($A$1, 454 - 1, 53 - 1) = "1" ), 3, 4 ) ) )</f>
        <v>4</v>
      </c>
    </row>
    <row r="455" spans="51:54" x14ac:dyDescent="0.25">
      <c r="AY455" s="7">
        <v>1</v>
      </c>
      <c r="AZ455" s="7" t="str">
        <f>"1"</f>
        <v>1</v>
      </c>
      <c r="BA455" t="str">
        <f ca="1">IF((OFFSET($A$1, 455 - 1, 51 - 1)) &gt;= (OFFSET($A$1, 77 - 1, 7 - 1)), "1","0")</f>
        <v>1</v>
      </c>
      <c r="BB455">
        <f ca="1" xml:space="preserve"> IF( AND( OFFSET($A$1, 455 - 1, 52 - 1) = "1", OFFSET($A$1, 455 - 1, 53 - 1) = "1" ), 1, IF( AND( OFFSET($A$1, 455 - 1, 52 - 1) = "1", OFFSET($A$1, 455 - 1, 53 - 1) = "0" ), 2, IF( AND( OFFSET($A$1, 455 - 1, 52 - 1) = "0", OFFSET($A$1, 455 - 1, 53 - 1) = "1" ), 3, 4 ) ) )</f>
        <v>1</v>
      </c>
    </row>
    <row r="456" spans="51:54" x14ac:dyDescent="0.25">
      <c r="AY456" s="7">
        <v>0.82352941176470584</v>
      </c>
      <c r="AZ456" s="7" t="str">
        <f>"1"</f>
        <v>1</v>
      </c>
      <c r="BA456" t="str">
        <f ca="1">IF((OFFSET($A$1, 456 - 1, 51 - 1)) &gt;= (OFFSET($A$1, 77 - 1, 7 - 1)), "1","0")</f>
        <v>1</v>
      </c>
      <c r="BB456">
        <f ca="1" xml:space="preserve"> IF( AND( OFFSET($A$1, 456 - 1, 52 - 1) = "1", OFFSET($A$1, 456 - 1, 53 - 1) = "1" ), 1, IF( AND( OFFSET($A$1, 456 - 1, 52 - 1) = "1", OFFSET($A$1, 456 - 1, 53 - 1) = "0" ), 2, IF( AND( OFFSET($A$1, 456 - 1, 52 - 1) = "0", OFFSET($A$1, 456 - 1, 53 - 1) = "1" ), 3, 4 ) ) )</f>
        <v>1</v>
      </c>
    </row>
    <row r="457" spans="51:54" x14ac:dyDescent="0.25">
      <c r="AY457" s="7">
        <v>0.88235294117647056</v>
      </c>
      <c r="AZ457" s="7" t="str">
        <f>"0"</f>
        <v>0</v>
      </c>
      <c r="BA457" t="str">
        <f ca="1">IF((OFFSET($A$1, 457 - 1, 51 - 1)) &gt;= (OFFSET($A$1, 77 - 1, 7 - 1)), "1","0")</f>
        <v>1</v>
      </c>
      <c r="BB457">
        <f ca="1" xml:space="preserve"> IF( AND( OFFSET($A$1, 457 - 1, 52 - 1) = "1", OFFSET($A$1, 457 - 1, 53 - 1) = "1" ), 1, IF( AND( OFFSET($A$1, 457 - 1, 52 - 1) = "1", OFFSET($A$1, 457 - 1, 53 - 1) = "0" ), 2, IF( AND( OFFSET($A$1, 457 - 1, 52 - 1) = "0", OFFSET($A$1, 457 - 1, 53 - 1) = "1" ), 3, 4 ) ) )</f>
        <v>3</v>
      </c>
    </row>
    <row r="458" spans="51:54" x14ac:dyDescent="0.25">
      <c r="AY458" s="7">
        <v>0.6470588235294118</v>
      </c>
      <c r="AZ458" s="7" t="str">
        <f>"0"</f>
        <v>0</v>
      </c>
      <c r="BA458" t="str">
        <f ca="1">IF((OFFSET($A$1, 458 - 1, 51 - 1)) &gt;= (OFFSET($A$1, 77 - 1, 7 - 1)), "1","0")</f>
        <v>1</v>
      </c>
      <c r="BB458">
        <f ca="1" xml:space="preserve"> IF( AND( OFFSET($A$1, 458 - 1, 52 - 1) = "1", OFFSET($A$1, 458 - 1, 53 - 1) = "1" ), 1, IF( AND( OFFSET($A$1, 458 - 1, 52 - 1) = "1", OFFSET($A$1, 458 - 1, 53 - 1) = "0" ), 2, IF( AND( OFFSET($A$1, 458 - 1, 52 - 1) = "0", OFFSET($A$1, 458 - 1, 53 - 1) = "1" ), 3, 4 ) ) )</f>
        <v>3</v>
      </c>
    </row>
    <row r="459" spans="51:54" x14ac:dyDescent="0.25">
      <c r="AY459" s="7">
        <v>0.82352941176470584</v>
      </c>
      <c r="AZ459" s="7" t="str">
        <f>"1"</f>
        <v>1</v>
      </c>
      <c r="BA459" t="str">
        <f ca="1">IF((OFFSET($A$1, 459 - 1, 51 - 1)) &gt;= (OFFSET($A$1, 77 - 1, 7 - 1)), "1","0")</f>
        <v>1</v>
      </c>
      <c r="BB459">
        <f ca="1" xml:space="preserve"> IF( AND( OFFSET($A$1, 459 - 1, 52 - 1) = "1", OFFSET($A$1, 459 - 1, 53 - 1) = "1" ), 1, IF( AND( OFFSET($A$1, 459 - 1, 52 - 1) = "1", OFFSET($A$1, 459 - 1, 53 - 1) = "0" ), 2, IF( AND( OFFSET($A$1, 459 - 1, 52 - 1) = "0", OFFSET($A$1, 459 - 1, 53 - 1) = "1" ), 3, 4 ) ) )</f>
        <v>1</v>
      </c>
    </row>
    <row r="460" spans="51:54" x14ac:dyDescent="0.25">
      <c r="AY460" s="7">
        <v>0.70588235294117652</v>
      </c>
      <c r="AZ460" s="7" t="str">
        <f>"0"</f>
        <v>0</v>
      </c>
      <c r="BA460" t="str">
        <f ca="1">IF((OFFSET($A$1, 460 - 1, 51 - 1)) &gt;= (OFFSET($A$1, 77 - 1, 7 - 1)), "1","0")</f>
        <v>1</v>
      </c>
      <c r="BB460">
        <f ca="1" xml:space="preserve"> IF( AND( OFFSET($A$1, 460 - 1, 52 - 1) = "1", OFFSET($A$1, 460 - 1, 53 - 1) = "1" ), 1, IF( AND( OFFSET($A$1, 460 - 1, 52 - 1) = "1", OFFSET($A$1, 460 - 1, 53 - 1) = "0" ), 2, IF( AND( OFFSET($A$1, 460 - 1, 52 - 1) = "0", OFFSET($A$1, 460 - 1, 53 - 1) = "1" ), 3, 4 ) ) )</f>
        <v>3</v>
      </c>
    </row>
    <row r="461" spans="51:54" x14ac:dyDescent="0.25">
      <c r="AY461" s="7">
        <v>0</v>
      </c>
      <c r="AZ461" s="7" t="str">
        <f>"0"</f>
        <v>0</v>
      </c>
      <c r="BA461" t="str">
        <f ca="1">IF((OFFSET($A$1, 461 - 1, 51 - 1)) &gt;= (OFFSET($A$1, 77 - 1, 7 - 1)), "1","0")</f>
        <v>0</v>
      </c>
      <c r="BB461">
        <f ca="1" xml:space="preserve"> IF( AND( OFFSET($A$1, 461 - 1, 52 - 1) = "1", OFFSET($A$1, 461 - 1, 53 - 1) = "1" ), 1, IF( AND( OFFSET($A$1, 461 - 1, 52 - 1) = "1", OFFSET($A$1, 461 - 1, 53 - 1) = "0" ), 2, IF( AND( OFFSET($A$1, 461 - 1, 52 - 1) = "0", OFFSET($A$1, 461 - 1, 53 - 1) = "1" ), 3, 4 ) ) )</f>
        <v>4</v>
      </c>
    </row>
    <row r="462" spans="51:54" x14ac:dyDescent="0.25">
      <c r="AY462" s="7">
        <v>0</v>
      </c>
      <c r="AZ462" s="7" t="str">
        <f>"0"</f>
        <v>0</v>
      </c>
      <c r="BA462" t="str">
        <f ca="1">IF((OFFSET($A$1, 462 - 1, 51 - 1)) &gt;= (OFFSET($A$1, 77 - 1, 7 - 1)), "1","0")</f>
        <v>0</v>
      </c>
      <c r="BB462">
        <f ca="1" xml:space="preserve"> IF( AND( OFFSET($A$1, 462 - 1, 52 - 1) = "1", OFFSET($A$1, 462 - 1, 53 - 1) = "1" ), 1, IF( AND( OFFSET($A$1, 462 - 1, 52 - 1) = "1", OFFSET($A$1, 462 - 1, 53 - 1) = "0" ), 2, IF( AND( OFFSET($A$1, 462 - 1, 52 - 1) = "0", OFFSET($A$1, 462 - 1, 53 - 1) = "1" ), 3, 4 ) ) )</f>
        <v>4</v>
      </c>
    </row>
    <row r="463" spans="51:54" x14ac:dyDescent="0.25">
      <c r="AY463" s="7">
        <v>0.94117647058823528</v>
      </c>
      <c r="AZ463" s="7" t="str">
        <f>"1"</f>
        <v>1</v>
      </c>
      <c r="BA463" t="str">
        <f ca="1">IF((OFFSET($A$1, 463 - 1, 51 - 1)) &gt;= (OFFSET($A$1, 77 - 1, 7 - 1)), "1","0")</f>
        <v>1</v>
      </c>
      <c r="BB463">
        <f ca="1" xml:space="preserve"> IF( AND( OFFSET($A$1, 463 - 1, 52 - 1) = "1", OFFSET($A$1, 463 - 1, 53 - 1) = "1" ), 1, IF( AND( OFFSET($A$1, 463 - 1, 52 - 1) = "1", OFFSET($A$1, 463 - 1, 53 - 1) = "0" ), 2, IF( AND( OFFSET($A$1, 463 - 1, 52 - 1) = "0", OFFSET($A$1, 463 - 1, 53 - 1) = "1" ), 3, 4 ) ) )</f>
        <v>1</v>
      </c>
    </row>
    <row r="464" spans="51:54" x14ac:dyDescent="0.25">
      <c r="AY464" s="7">
        <v>0</v>
      </c>
      <c r="AZ464" s="7" t="str">
        <f>"0"</f>
        <v>0</v>
      </c>
      <c r="BA464" t="str">
        <f ca="1">IF((OFFSET($A$1, 464 - 1, 51 - 1)) &gt;= (OFFSET($A$1, 77 - 1, 7 - 1)), "1","0")</f>
        <v>0</v>
      </c>
      <c r="BB464">
        <f ca="1" xml:space="preserve"> IF( AND( OFFSET($A$1, 464 - 1, 52 - 1) = "1", OFFSET($A$1, 464 - 1, 53 - 1) = "1" ), 1, IF( AND( OFFSET($A$1, 464 - 1, 52 - 1) = "1", OFFSET($A$1, 464 - 1, 53 - 1) = "0" ), 2, IF( AND( OFFSET($A$1, 464 - 1, 52 - 1) = "0", OFFSET($A$1, 464 - 1, 53 - 1) = "1" ), 3, 4 ) ) )</f>
        <v>4</v>
      </c>
    </row>
    <row r="465" spans="51:54" x14ac:dyDescent="0.25">
      <c r="AY465" s="7">
        <v>0.94117647058823528</v>
      </c>
      <c r="AZ465" s="7" t="str">
        <f>"1"</f>
        <v>1</v>
      </c>
      <c r="BA465" t="str">
        <f ca="1">IF((OFFSET($A$1, 465 - 1, 51 - 1)) &gt;= (OFFSET($A$1, 77 - 1, 7 - 1)), "1","0")</f>
        <v>1</v>
      </c>
      <c r="BB465">
        <f ca="1" xml:space="preserve"> IF( AND( OFFSET($A$1, 465 - 1, 52 - 1) = "1", OFFSET($A$1, 465 - 1, 53 - 1) = "1" ), 1, IF( AND( OFFSET($A$1, 465 - 1, 52 - 1) = "1", OFFSET($A$1, 465 - 1, 53 - 1) = "0" ), 2, IF( AND( OFFSET($A$1, 465 - 1, 52 - 1) = "0", OFFSET($A$1, 465 - 1, 53 - 1) = "1" ), 3, 4 ) ) )</f>
        <v>1</v>
      </c>
    </row>
    <row r="466" spans="51:54" x14ac:dyDescent="0.25">
      <c r="AY466" s="7">
        <v>0</v>
      </c>
      <c r="AZ466" s="7" t="str">
        <f>"0"</f>
        <v>0</v>
      </c>
      <c r="BA466" t="str">
        <f ca="1">IF((OFFSET($A$1, 466 - 1, 51 - 1)) &gt;= (OFFSET($A$1, 77 - 1, 7 - 1)), "1","0")</f>
        <v>0</v>
      </c>
      <c r="BB466">
        <f ca="1" xml:space="preserve"> IF( AND( OFFSET($A$1, 466 - 1, 52 - 1) = "1", OFFSET($A$1, 466 - 1, 53 - 1) = "1" ), 1, IF( AND( OFFSET($A$1, 466 - 1, 52 - 1) = "1", OFFSET($A$1, 466 - 1, 53 - 1) = "0" ), 2, IF( AND( OFFSET($A$1, 466 - 1, 52 - 1) = "0", OFFSET($A$1, 466 - 1, 53 - 1) = "1" ), 3, 4 ) ) )</f>
        <v>4</v>
      </c>
    </row>
    <row r="467" spans="51:54" x14ac:dyDescent="0.25">
      <c r="AY467" s="7">
        <v>0</v>
      </c>
      <c r="AZ467" s="7" t="str">
        <f>"0"</f>
        <v>0</v>
      </c>
      <c r="BA467" t="str">
        <f ca="1">IF((OFFSET($A$1, 467 - 1, 51 - 1)) &gt;= (OFFSET($A$1, 77 - 1, 7 - 1)), "1","0")</f>
        <v>0</v>
      </c>
      <c r="BB467">
        <f ca="1" xml:space="preserve"> IF( AND( OFFSET($A$1, 467 - 1, 52 - 1) = "1", OFFSET($A$1, 467 - 1, 53 - 1) = "1" ), 1, IF( AND( OFFSET($A$1, 467 - 1, 52 - 1) = "1", OFFSET($A$1, 467 - 1, 53 - 1) = "0" ), 2, IF( AND( OFFSET($A$1, 467 - 1, 52 - 1) = "0", OFFSET($A$1, 467 - 1, 53 - 1) = "1" ), 3, 4 ) ) )</f>
        <v>4</v>
      </c>
    </row>
    <row r="468" spans="51:54" x14ac:dyDescent="0.25">
      <c r="AY468" s="7">
        <v>0</v>
      </c>
      <c r="AZ468" s="7" t="str">
        <f>"0"</f>
        <v>0</v>
      </c>
      <c r="BA468" t="str">
        <f ca="1">IF((OFFSET($A$1, 468 - 1, 51 - 1)) &gt;= (OFFSET($A$1, 77 - 1, 7 - 1)), "1","0")</f>
        <v>0</v>
      </c>
      <c r="BB468">
        <f ca="1" xml:space="preserve"> IF( AND( OFFSET($A$1, 468 - 1, 52 - 1) = "1", OFFSET($A$1, 468 - 1, 53 - 1) = "1" ), 1, IF( AND( OFFSET($A$1, 468 - 1, 52 - 1) = "1", OFFSET($A$1, 468 - 1, 53 - 1) = "0" ), 2, IF( AND( OFFSET($A$1, 468 - 1, 52 - 1) = "0", OFFSET($A$1, 468 - 1, 53 - 1) = "1" ), 3, 4 ) ) )</f>
        <v>4</v>
      </c>
    </row>
    <row r="469" spans="51:54" x14ac:dyDescent="0.25">
      <c r="AY469" s="7">
        <v>0</v>
      </c>
      <c r="AZ469" s="7" t="str">
        <f>"0"</f>
        <v>0</v>
      </c>
      <c r="BA469" t="str">
        <f ca="1">IF((OFFSET($A$1, 469 - 1, 51 - 1)) &gt;= (OFFSET($A$1, 77 - 1, 7 - 1)), "1","0")</f>
        <v>0</v>
      </c>
      <c r="BB469">
        <f ca="1" xml:space="preserve"> IF( AND( OFFSET($A$1, 469 - 1, 52 - 1) = "1", OFFSET($A$1, 469 - 1, 53 - 1) = "1" ), 1, IF( AND( OFFSET($A$1, 469 - 1, 52 - 1) = "1", OFFSET($A$1, 469 - 1, 53 - 1) = "0" ), 2, IF( AND( OFFSET($A$1, 469 - 1, 52 - 1) = "0", OFFSET($A$1, 469 - 1, 53 - 1) = "1" ), 3, 4 ) ) )</f>
        <v>4</v>
      </c>
    </row>
    <row r="470" spans="51:54" x14ac:dyDescent="0.25">
      <c r="AY470" s="7">
        <v>0</v>
      </c>
      <c r="AZ470" s="7" t="str">
        <f>"0"</f>
        <v>0</v>
      </c>
      <c r="BA470" t="str">
        <f ca="1">IF((OFFSET($A$1, 470 - 1, 51 - 1)) &gt;= (OFFSET($A$1, 77 - 1, 7 - 1)), "1","0")</f>
        <v>0</v>
      </c>
      <c r="BB470">
        <f ca="1" xml:space="preserve"> IF( AND( OFFSET($A$1, 470 - 1, 52 - 1) = "1", OFFSET($A$1, 470 - 1, 53 - 1) = "1" ), 1, IF( AND( OFFSET($A$1, 470 - 1, 52 - 1) = "1", OFFSET($A$1, 470 - 1, 53 - 1) = "0" ), 2, IF( AND( OFFSET($A$1, 470 - 1, 52 - 1) = "0", OFFSET($A$1, 470 - 1, 53 - 1) = "1" ), 3, 4 ) ) )</f>
        <v>4</v>
      </c>
    </row>
    <row r="471" spans="51:54" x14ac:dyDescent="0.25">
      <c r="AY471" s="7">
        <v>0</v>
      </c>
      <c r="AZ471" s="7" t="str">
        <f>"0"</f>
        <v>0</v>
      </c>
      <c r="BA471" t="str">
        <f ca="1">IF((OFFSET($A$1, 471 - 1, 51 - 1)) &gt;= (OFFSET($A$1, 77 - 1, 7 - 1)), "1","0")</f>
        <v>0</v>
      </c>
      <c r="BB471">
        <f ca="1" xml:space="preserve"> IF( AND( OFFSET($A$1, 471 - 1, 52 - 1) = "1", OFFSET($A$1, 471 - 1, 53 - 1) = "1" ), 1, IF( AND( OFFSET($A$1, 471 - 1, 52 - 1) = "1", OFFSET($A$1, 471 - 1, 53 - 1) = "0" ), 2, IF( AND( OFFSET($A$1, 471 - 1, 52 - 1) = "0", OFFSET($A$1, 471 - 1, 53 - 1) = "1" ), 3, 4 ) ) )</f>
        <v>4</v>
      </c>
    </row>
    <row r="472" spans="51:54" x14ac:dyDescent="0.25">
      <c r="AY472" s="7">
        <v>0.94117647058823528</v>
      </c>
      <c r="AZ472" s="7" t="str">
        <f>"1"</f>
        <v>1</v>
      </c>
      <c r="BA472" t="str">
        <f ca="1">IF((OFFSET($A$1, 472 - 1, 51 - 1)) &gt;= (OFFSET($A$1, 77 - 1, 7 - 1)), "1","0")</f>
        <v>1</v>
      </c>
      <c r="BB472">
        <f ca="1" xml:space="preserve"> IF( AND( OFFSET($A$1, 472 - 1, 52 - 1) = "1", OFFSET($A$1, 472 - 1, 53 - 1) = "1" ), 1, IF( AND( OFFSET($A$1, 472 - 1, 52 - 1) = "1", OFFSET($A$1, 472 - 1, 53 - 1) = "0" ), 2, IF( AND( OFFSET($A$1, 472 - 1, 52 - 1) = "0", OFFSET($A$1, 472 - 1, 53 - 1) = "1" ), 3, 4 ) ) )</f>
        <v>1</v>
      </c>
    </row>
    <row r="473" spans="51:54" x14ac:dyDescent="0.25">
      <c r="AY473" s="7">
        <v>0.23529411764705882</v>
      </c>
      <c r="AZ473" s="7" t="str">
        <f>"0"</f>
        <v>0</v>
      </c>
      <c r="BA473" t="str">
        <f ca="1">IF((OFFSET($A$1, 473 - 1, 51 - 1)) &gt;= (OFFSET($A$1, 77 - 1, 7 - 1)), "1","0")</f>
        <v>0</v>
      </c>
      <c r="BB473">
        <f ca="1" xml:space="preserve"> IF( AND( OFFSET($A$1, 473 - 1, 52 - 1) = "1", OFFSET($A$1, 473 - 1, 53 - 1) = "1" ), 1, IF( AND( OFFSET($A$1, 473 - 1, 52 - 1) = "1", OFFSET($A$1, 473 - 1, 53 - 1) = "0" ), 2, IF( AND( OFFSET($A$1, 473 - 1, 52 - 1) = "0", OFFSET($A$1, 473 - 1, 53 - 1) = "1" ), 3, 4 ) ) )</f>
        <v>4</v>
      </c>
    </row>
    <row r="474" spans="51:54" x14ac:dyDescent="0.25">
      <c r="AY474" s="7">
        <v>0.41176470588235292</v>
      </c>
      <c r="AZ474" s="7" t="str">
        <f>"1"</f>
        <v>1</v>
      </c>
      <c r="BA474" t="str">
        <f ca="1">IF((OFFSET($A$1, 474 - 1, 51 - 1)) &gt;= (OFFSET($A$1, 77 - 1, 7 - 1)), "1","0")</f>
        <v>0</v>
      </c>
      <c r="BB474">
        <f ca="1" xml:space="preserve"> IF( AND( OFFSET($A$1, 474 - 1, 52 - 1) = "1", OFFSET($A$1, 474 - 1, 53 - 1) = "1" ), 1, IF( AND( OFFSET($A$1, 474 - 1, 52 - 1) = "1", OFFSET($A$1, 474 - 1, 53 - 1) = "0" ), 2, IF( AND( OFFSET($A$1, 474 - 1, 52 - 1) = "0", OFFSET($A$1, 474 - 1, 53 - 1) = "1" ), 3, 4 ) ) )</f>
        <v>2</v>
      </c>
    </row>
    <row r="475" spans="51:54" x14ac:dyDescent="0.25">
      <c r="AY475" s="7">
        <v>5.8823529411764705E-2</v>
      </c>
      <c r="AZ475" s="7" t="str">
        <f>"0"</f>
        <v>0</v>
      </c>
      <c r="BA475" t="str">
        <f ca="1">IF((OFFSET($A$1, 475 - 1, 51 - 1)) &gt;= (OFFSET($A$1, 77 - 1, 7 - 1)), "1","0")</f>
        <v>0</v>
      </c>
      <c r="BB475">
        <f ca="1" xml:space="preserve"> IF( AND( OFFSET($A$1, 475 - 1, 52 - 1) = "1", OFFSET($A$1, 475 - 1, 53 - 1) = "1" ), 1, IF( AND( OFFSET($A$1, 475 - 1, 52 - 1) = "1", OFFSET($A$1, 475 - 1, 53 - 1) = "0" ), 2, IF( AND( OFFSET($A$1, 475 - 1, 52 - 1) = "0", OFFSET($A$1, 475 - 1, 53 - 1) = "1" ), 3, 4 ) ) )</f>
        <v>4</v>
      </c>
    </row>
    <row r="476" spans="51:54" x14ac:dyDescent="0.25">
      <c r="AY476" s="7">
        <v>1</v>
      </c>
      <c r="AZ476" s="7" t="str">
        <f>"1"</f>
        <v>1</v>
      </c>
      <c r="BA476" t="str">
        <f ca="1">IF((OFFSET($A$1, 476 - 1, 51 - 1)) &gt;= (OFFSET($A$1, 77 - 1, 7 - 1)), "1","0")</f>
        <v>1</v>
      </c>
      <c r="BB476">
        <f ca="1" xml:space="preserve"> IF( AND( OFFSET($A$1, 476 - 1, 52 - 1) = "1", OFFSET($A$1, 476 - 1, 53 - 1) = "1" ), 1, IF( AND( OFFSET($A$1, 476 - 1, 52 - 1) = "1", OFFSET($A$1, 476 - 1, 53 - 1) = "0" ), 2, IF( AND( OFFSET($A$1, 476 - 1, 52 - 1) = "0", OFFSET($A$1, 476 - 1, 53 - 1) = "1" ), 3, 4 ) ) )</f>
        <v>1</v>
      </c>
    </row>
    <row r="477" spans="51:54" x14ac:dyDescent="0.25">
      <c r="AY477" s="7">
        <v>5.8823529411764705E-2</v>
      </c>
      <c r="AZ477" s="7" t="str">
        <f>"0"</f>
        <v>0</v>
      </c>
      <c r="BA477" t="str">
        <f ca="1">IF((OFFSET($A$1, 477 - 1, 51 - 1)) &gt;= (OFFSET($A$1, 77 - 1, 7 - 1)), "1","0")</f>
        <v>0</v>
      </c>
      <c r="BB477">
        <f ca="1" xml:space="preserve"> IF( AND( OFFSET($A$1, 477 - 1, 52 - 1) = "1", OFFSET($A$1, 477 - 1, 53 - 1) = "1" ), 1, IF( AND( OFFSET($A$1, 477 - 1, 52 - 1) = "1", OFFSET($A$1, 477 - 1, 53 - 1) = "0" ), 2, IF( AND( OFFSET($A$1, 477 - 1, 52 - 1) = "0", OFFSET($A$1, 477 - 1, 53 - 1) = "1" ), 3, 4 ) ) )</f>
        <v>4</v>
      </c>
    </row>
    <row r="478" spans="51:54" x14ac:dyDescent="0.25">
      <c r="AY478" s="7">
        <v>0.94117647058823528</v>
      </c>
      <c r="AZ478" s="7" t="str">
        <f>"1"</f>
        <v>1</v>
      </c>
      <c r="BA478" t="str">
        <f ca="1">IF((OFFSET($A$1, 478 - 1, 51 - 1)) &gt;= (OFFSET($A$1, 77 - 1, 7 - 1)), "1","0")</f>
        <v>1</v>
      </c>
      <c r="BB478">
        <f ca="1" xml:space="preserve"> IF( AND( OFFSET($A$1, 478 - 1, 52 - 1) = "1", OFFSET($A$1, 478 - 1, 53 - 1) = "1" ), 1, IF( AND( OFFSET($A$1, 478 - 1, 52 - 1) = "1", OFFSET($A$1, 478 - 1, 53 - 1) = "0" ), 2, IF( AND( OFFSET($A$1, 478 - 1, 52 - 1) = "0", OFFSET($A$1, 478 - 1, 53 - 1) = "1" ), 3, 4 ) ) )</f>
        <v>1</v>
      </c>
    </row>
    <row r="479" spans="51:54" x14ac:dyDescent="0.25">
      <c r="AY479" s="7">
        <v>1</v>
      </c>
      <c r="AZ479" s="7" t="str">
        <f>"1"</f>
        <v>1</v>
      </c>
      <c r="BA479" t="str">
        <f ca="1">IF((OFFSET($A$1, 479 - 1, 51 - 1)) &gt;= (OFFSET($A$1, 77 - 1, 7 - 1)), "1","0")</f>
        <v>1</v>
      </c>
      <c r="BB479">
        <f ca="1" xml:space="preserve"> IF( AND( OFFSET($A$1, 479 - 1, 52 - 1) = "1", OFFSET($A$1, 479 - 1, 53 - 1) = "1" ), 1, IF( AND( OFFSET($A$1, 479 - 1, 52 - 1) = "1", OFFSET($A$1, 479 - 1, 53 - 1) = "0" ), 2, IF( AND( OFFSET($A$1, 479 - 1, 52 - 1) = "0", OFFSET($A$1, 479 - 1, 53 - 1) = "1" ), 3, 4 ) ) )</f>
        <v>1</v>
      </c>
    </row>
    <row r="480" spans="51:54" x14ac:dyDescent="0.25">
      <c r="AY480" s="7">
        <v>5.8823529411764705E-2</v>
      </c>
      <c r="AZ480" s="7" t="str">
        <f>"0"</f>
        <v>0</v>
      </c>
      <c r="BA480" t="str">
        <f ca="1">IF((OFFSET($A$1, 480 - 1, 51 - 1)) &gt;= (OFFSET($A$1, 77 - 1, 7 - 1)), "1","0")</f>
        <v>0</v>
      </c>
      <c r="BB480">
        <f ca="1" xml:space="preserve"> IF( AND( OFFSET($A$1, 480 - 1, 52 - 1) = "1", OFFSET($A$1, 480 - 1, 53 - 1) = "1" ), 1, IF( AND( OFFSET($A$1, 480 - 1, 52 - 1) = "1", OFFSET($A$1, 480 - 1, 53 - 1) = "0" ), 2, IF( AND( OFFSET($A$1, 480 - 1, 52 - 1) = "0", OFFSET($A$1, 480 - 1, 53 - 1) = "1" ), 3, 4 ) ) )</f>
        <v>4</v>
      </c>
    </row>
    <row r="481" spans="51:54" x14ac:dyDescent="0.25">
      <c r="AY481" s="7">
        <v>0</v>
      </c>
      <c r="AZ481" s="7" t="str">
        <f>"0"</f>
        <v>0</v>
      </c>
      <c r="BA481" t="str">
        <f ca="1">IF((OFFSET($A$1, 481 - 1, 51 - 1)) &gt;= (OFFSET($A$1, 77 - 1, 7 - 1)), "1","0")</f>
        <v>0</v>
      </c>
      <c r="BB481">
        <f ca="1" xml:space="preserve"> IF( AND( OFFSET($A$1, 481 - 1, 52 - 1) = "1", OFFSET($A$1, 481 - 1, 53 - 1) = "1" ), 1, IF( AND( OFFSET($A$1, 481 - 1, 52 - 1) = "1", OFFSET($A$1, 481 - 1, 53 - 1) = "0" ), 2, IF( AND( OFFSET($A$1, 481 - 1, 52 - 1) = "0", OFFSET($A$1, 481 - 1, 53 - 1) = "1" ), 3, 4 ) ) )</f>
        <v>4</v>
      </c>
    </row>
    <row r="482" spans="51:54" x14ac:dyDescent="0.25">
      <c r="AY482" s="7">
        <v>0</v>
      </c>
      <c r="AZ482" s="7" t="str">
        <f>"0"</f>
        <v>0</v>
      </c>
      <c r="BA482" t="str">
        <f ca="1">IF((OFFSET($A$1, 482 - 1, 51 - 1)) &gt;= (OFFSET($A$1, 77 - 1, 7 - 1)), "1","0")</f>
        <v>0</v>
      </c>
      <c r="BB482">
        <f ca="1" xml:space="preserve"> IF( AND( OFFSET($A$1, 482 - 1, 52 - 1) = "1", OFFSET($A$1, 482 - 1, 53 - 1) = "1" ), 1, IF( AND( OFFSET($A$1, 482 - 1, 52 - 1) = "1", OFFSET($A$1, 482 - 1, 53 - 1) = "0" ), 2, IF( AND( OFFSET($A$1, 482 - 1, 52 - 1) = "0", OFFSET($A$1, 482 - 1, 53 - 1) = "1" ), 3, 4 ) ) )</f>
        <v>4</v>
      </c>
    </row>
    <row r="483" spans="51:54" x14ac:dyDescent="0.25">
      <c r="AY483" s="7">
        <v>0</v>
      </c>
      <c r="AZ483" s="7" t="str">
        <f>"0"</f>
        <v>0</v>
      </c>
      <c r="BA483" t="str">
        <f ca="1">IF((OFFSET($A$1, 483 - 1, 51 - 1)) &gt;= (OFFSET($A$1, 77 - 1, 7 - 1)), "1","0")</f>
        <v>0</v>
      </c>
      <c r="BB483">
        <f ca="1" xml:space="preserve"> IF( AND( OFFSET($A$1, 483 - 1, 52 - 1) = "1", OFFSET($A$1, 483 - 1, 53 - 1) = "1" ), 1, IF( AND( OFFSET($A$1, 483 - 1, 52 - 1) = "1", OFFSET($A$1, 483 - 1, 53 - 1) = "0" ), 2, IF( AND( OFFSET($A$1, 483 - 1, 52 - 1) = "0", OFFSET($A$1, 483 - 1, 53 - 1) = "1" ), 3, 4 ) ) )</f>
        <v>4</v>
      </c>
    </row>
    <row r="484" spans="51:54" x14ac:dyDescent="0.25">
      <c r="AY484" s="7">
        <v>0.29411764705882354</v>
      </c>
      <c r="AZ484" s="7" t="str">
        <f>"0"</f>
        <v>0</v>
      </c>
      <c r="BA484" t="str">
        <f ca="1">IF((OFFSET($A$1, 484 - 1, 51 - 1)) &gt;= (OFFSET($A$1, 77 - 1, 7 - 1)), "1","0")</f>
        <v>0</v>
      </c>
      <c r="BB484">
        <f ca="1" xml:space="preserve"> IF( AND( OFFSET($A$1, 484 - 1, 52 - 1) = "1", OFFSET($A$1, 484 - 1, 53 - 1) = "1" ), 1, IF( AND( OFFSET($A$1, 484 - 1, 52 - 1) = "1", OFFSET($A$1, 484 - 1, 53 - 1) = "0" ), 2, IF( AND( OFFSET($A$1, 484 - 1, 52 - 1) = "0", OFFSET($A$1, 484 - 1, 53 - 1) = "1" ), 3, 4 ) ) )</f>
        <v>4</v>
      </c>
    </row>
    <row r="485" spans="51:54" x14ac:dyDescent="0.25">
      <c r="AY485" s="7">
        <v>0</v>
      </c>
      <c r="AZ485" s="7" t="str">
        <f>"0"</f>
        <v>0</v>
      </c>
      <c r="BA485" t="str">
        <f ca="1">IF((OFFSET($A$1, 485 - 1, 51 - 1)) &gt;= (OFFSET($A$1, 77 - 1, 7 - 1)), "1","0")</f>
        <v>0</v>
      </c>
      <c r="BB485">
        <f ca="1" xml:space="preserve"> IF( AND( OFFSET($A$1, 485 - 1, 52 - 1) = "1", OFFSET($A$1, 485 - 1, 53 - 1) = "1" ), 1, IF( AND( OFFSET($A$1, 485 - 1, 52 - 1) = "1", OFFSET($A$1, 485 - 1, 53 - 1) = "0" ), 2, IF( AND( OFFSET($A$1, 485 - 1, 52 - 1) = "0", OFFSET($A$1, 485 - 1, 53 - 1) = "1" ), 3, 4 ) ) )</f>
        <v>4</v>
      </c>
    </row>
    <row r="486" spans="51:54" x14ac:dyDescent="0.25">
      <c r="AY486" s="7">
        <v>0</v>
      </c>
      <c r="AZ486" s="7" t="str">
        <f>"0"</f>
        <v>0</v>
      </c>
      <c r="BA486" t="str">
        <f ca="1">IF((OFFSET($A$1, 486 - 1, 51 - 1)) &gt;= (OFFSET($A$1, 77 - 1, 7 - 1)), "1","0")</f>
        <v>0</v>
      </c>
      <c r="BB486">
        <f ca="1" xml:space="preserve"> IF( AND( OFFSET($A$1, 486 - 1, 52 - 1) = "1", OFFSET($A$1, 486 - 1, 53 - 1) = "1" ), 1, IF( AND( OFFSET($A$1, 486 - 1, 52 - 1) = "1", OFFSET($A$1, 486 - 1, 53 - 1) = "0" ), 2, IF( AND( OFFSET($A$1, 486 - 1, 52 - 1) = "0", OFFSET($A$1, 486 - 1, 53 - 1) = "1" ), 3, 4 ) ) )</f>
        <v>4</v>
      </c>
    </row>
    <row r="487" spans="51:54" x14ac:dyDescent="0.25">
      <c r="AY487" s="7">
        <v>0</v>
      </c>
      <c r="AZ487" s="7" t="str">
        <f>"0"</f>
        <v>0</v>
      </c>
      <c r="BA487" t="str">
        <f ca="1">IF((OFFSET($A$1, 487 - 1, 51 - 1)) &gt;= (OFFSET($A$1, 77 - 1, 7 - 1)), "1","0")</f>
        <v>0</v>
      </c>
      <c r="BB487">
        <f ca="1" xml:space="preserve"> IF( AND( OFFSET($A$1, 487 - 1, 52 - 1) = "1", OFFSET($A$1, 487 - 1, 53 - 1) = "1" ), 1, IF( AND( OFFSET($A$1, 487 - 1, 52 - 1) = "1", OFFSET($A$1, 487 - 1, 53 - 1) = "0" ), 2, IF( AND( OFFSET($A$1, 487 - 1, 52 - 1) = "0", OFFSET($A$1, 487 - 1, 53 - 1) = "1" ), 3, 4 ) ) )</f>
        <v>4</v>
      </c>
    </row>
    <row r="488" spans="51:54" x14ac:dyDescent="0.25">
      <c r="AY488" s="7">
        <v>1</v>
      </c>
      <c r="AZ488" s="7" t="str">
        <f>"1"</f>
        <v>1</v>
      </c>
      <c r="BA488" t="str">
        <f ca="1">IF((OFFSET($A$1, 488 - 1, 51 - 1)) &gt;= (OFFSET($A$1, 77 - 1, 7 - 1)), "1","0")</f>
        <v>1</v>
      </c>
      <c r="BB488">
        <f ca="1" xml:space="preserve"> IF( AND( OFFSET($A$1, 488 - 1, 52 - 1) = "1", OFFSET($A$1, 488 - 1, 53 - 1) = "1" ), 1, IF( AND( OFFSET($A$1, 488 - 1, 52 - 1) = "1", OFFSET($A$1, 488 - 1, 53 - 1) = "0" ), 2, IF( AND( OFFSET($A$1, 488 - 1, 52 - 1) = "0", OFFSET($A$1, 488 - 1, 53 - 1) = "1" ), 3, 4 ) ) )</f>
        <v>1</v>
      </c>
    </row>
    <row r="489" spans="51:54" x14ac:dyDescent="0.25">
      <c r="AY489" s="7">
        <v>0</v>
      </c>
      <c r="AZ489" s="7" t="str">
        <f>"0"</f>
        <v>0</v>
      </c>
      <c r="BA489" t="str">
        <f ca="1">IF((OFFSET($A$1, 489 - 1, 51 - 1)) &gt;= (OFFSET($A$1, 77 - 1, 7 - 1)), "1","0")</f>
        <v>0</v>
      </c>
      <c r="BB489">
        <f ca="1" xml:space="preserve"> IF( AND( OFFSET($A$1, 489 - 1, 52 - 1) = "1", OFFSET($A$1, 489 - 1, 53 - 1) = "1" ), 1, IF( AND( OFFSET($A$1, 489 - 1, 52 - 1) = "1", OFFSET($A$1, 489 - 1, 53 - 1) = "0" ), 2, IF( AND( OFFSET($A$1, 489 - 1, 52 - 1) = "0", OFFSET($A$1, 489 - 1, 53 - 1) = "1" ), 3, 4 ) ) )</f>
        <v>4</v>
      </c>
    </row>
    <row r="490" spans="51:54" x14ac:dyDescent="0.25">
      <c r="AY490" s="7">
        <v>0</v>
      </c>
      <c r="AZ490" s="7" t="str">
        <f>"0"</f>
        <v>0</v>
      </c>
      <c r="BA490" t="str">
        <f ca="1">IF((OFFSET($A$1, 490 - 1, 51 - 1)) &gt;= (OFFSET($A$1, 77 - 1, 7 - 1)), "1","0")</f>
        <v>0</v>
      </c>
      <c r="BB490">
        <f ca="1" xml:space="preserve"> IF( AND( OFFSET($A$1, 490 - 1, 52 - 1) = "1", OFFSET($A$1, 490 - 1, 53 - 1) = "1" ), 1, IF( AND( OFFSET($A$1, 490 - 1, 52 - 1) = "1", OFFSET($A$1, 490 - 1, 53 - 1) = "0" ), 2, IF( AND( OFFSET($A$1, 490 - 1, 52 - 1) = "0", OFFSET($A$1, 490 - 1, 53 - 1) = "1" ), 3, 4 ) ) )</f>
        <v>4</v>
      </c>
    </row>
    <row r="491" spans="51:54" x14ac:dyDescent="0.25">
      <c r="AY491" s="7">
        <v>0</v>
      </c>
      <c r="AZ491" s="7" t="str">
        <f>"0"</f>
        <v>0</v>
      </c>
      <c r="BA491" t="str">
        <f ca="1">IF((OFFSET($A$1, 491 - 1, 51 - 1)) &gt;= (OFFSET($A$1, 77 - 1, 7 - 1)), "1","0")</f>
        <v>0</v>
      </c>
      <c r="BB491">
        <f ca="1" xml:space="preserve"> IF( AND( OFFSET($A$1, 491 - 1, 52 - 1) = "1", OFFSET($A$1, 491 - 1, 53 - 1) = "1" ), 1, IF( AND( OFFSET($A$1, 491 - 1, 52 - 1) = "1", OFFSET($A$1, 491 - 1, 53 - 1) = "0" ), 2, IF( AND( OFFSET($A$1, 491 - 1, 52 - 1) = "0", OFFSET($A$1, 491 - 1, 53 - 1) = "1" ), 3, 4 ) ) )</f>
        <v>4</v>
      </c>
    </row>
    <row r="492" spans="51:54" x14ac:dyDescent="0.25">
      <c r="AY492" s="7">
        <v>0</v>
      </c>
      <c r="AZ492" s="7" t="str">
        <f>"0"</f>
        <v>0</v>
      </c>
      <c r="BA492" t="str">
        <f ca="1">IF((OFFSET($A$1, 492 - 1, 51 - 1)) &gt;= (OFFSET($A$1, 77 - 1, 7 - 1)), "1","0")</f>
        <v>0</v>
      </c>
      <c r="BB492">
        <f ca="1" xml:space="preserve"> IF( AND( OFFSET($A$1, 492 - 1, 52 - 1) = "1", OFFSET($A$1, 492 - 1, 53 - 1) = "1" ), 1, IF( AND( OFFSET($A$1, 492 - 1, 52 - 1) = "1", OFFSET($A$1, 492 - 1, 53 - 1) = "0" ), 2, IF( AND( OFFSET($A$1, 492 - 1, 52 - 1) = "0", OFFSET($A$1, 492 - 1, 53 - 1) = "1" ), 3, 4 ) ) )</f>
        <v>4</v>
      </c>
    </row>
    <row r="493" spans="51:54" x14ac:dyDescent="0.25">
      <c r="AY493" s="7">
        <v>0.88235294117647056</v>
      </c>
      <c r="AZ493" s="7" t="str">
        <f>"0"</f>
        <v>0</v>
      </c>
      <c r="BA493" t="str">
        <f ca="1">IF((OFFSET($A$1, 493 - 1, 51 - 1)) &gt;= (OFFSET($A$1, 77 - 1, 7 - 1)), "1","0")</f>
        <v>1</v>
      </c>
      <c r="BB493">
        <f ca="1" xml:space="preserve"> IF( AND( OFFSET($A$1, 493 - 1, 52 - 1) = "1", OFFSET($A$1, 493 - 1, 53 - 1) = "1" ), 1, IF( AND( OFFSET($A$1, 493 - 1, 52 - 1) = "1", OFFSET($A$1, 493 - 1, 53 - 1) = "0" ), 2, IF( AND( OFFSET($A$1, 493 - 1, 52 - 1) = "0", OFFSET($A$1, 493 - 1, 53 - 1) = "1" ), 3, 4 ) ) )</f>
        <v>3</v>
      </c>
    </row>
    <row r="494" spans="51:54" x14ac:dyDescent="0.25">
      <c r="AY494" s="7">
        <v>0.29411764705882354</v>
      </c>
      <c r="AZ494" s="7" t="str">
        <f>"1"</f>
        <v>1</v>
      </c>
      <c r="BA494" t="str">
        <f ca="1">IF((OFFSET($A$1, 494 - 1, 51 - 1)) &gt;= (OFFSET($A$1, 77 - 1, 7 - 1)), "1","0")</f>
        <v>0</v>
      </c>
      <c r="BB494">
        <f ca="1" xml:space="preserve"> IF( AND( OFFSET($A$1, 494 - 1, 52 - 1) = "1", OFFSET($A$1, 494 - 1, 53 - 1) = "1" ), 1, IF( AND( OFFSET($A$1, 494 - 1, 52 - 1) = "1", OFFSET($A$1, 494 - 1, 53 - 1) = "0" ), 2, IF( AND( OFFSET($A$1, 494 - 1, 52 - 1) = "0", OFFSET($A$1, 494 - 1, 53 - 1) = "1" ), 3, 4 ) ) )</f>
        <v>2</v>
      </c>
    </row>
    <row r="495" spans="51:54" x14ac:dyDescent="0.25">
      <c r="AY495" s="7">
        <v>0</v>
      </c>
      <c r="AZ495" s="7" t="str">
        <f>"0"</f>
        <v>0</v>
      </c>
      <c r="BA495" t="str">
        <f ca="1">IF((OFFSET($A$1, 495 - 1, 51 - 1)) &gt;= (OFFSET($A$1, 77 - 1, 7 - 1)), "1","0")</f>
        <v>0</v>
      </c>
      <c r="BB495">
        <f ca="1" xml:space="preserve"> IF( AND( OFFSET($A$1, 495 - 1, 52 - 1) = "1", OFFSET($A$1, 495 - 1, 53 - 1) = "1" ), 1, IF( AND( OFFSET($A$1, 495 - 1, 52 - 1) = "1", OFFSET($A$1, 495 - 1, 53 - 1) = "0" ), 2, IF( AND( OFFSET($A$1, 495 - 1, 52 - 1) = "0", OFFSET($A$1, 495 - 1, 53 - 1) = "1" ), 3, 4 ) ) )</f>
        <v>4</v>
      </c>
    </row>
    <row r="496" spans="51:54" x14ac:dyDescent="0.25">
      <c r="AY496" s="7">
        <v>0</v>
      </c>
      <c r="AZ496" s="7" t="str">
        <f>"0"</f>
        <v>0</v>
      </c>
      <c r="BA496" t="str">
        <f ca="1">IF((OFFSET($A$1, 496 - 1, 51 - 1)) &gt;= (OFFSET($A$1, 77 - 1, 7 - 1)), "1","0")</f>
        <v>0</v>
      </c>
      <c r="BB496">
        <f ca="1" xml:space="preserve"> IF( AND( OFFSET($A$1, 496 - 1, 52 - 1) = "1", OFFSET($A$1, 496 - 1, 53 - 1) = "1" ), 1, IF( AND( OFFSET($A$1, 496 - 1, 52 - 1) = "1", OFFSET($A$1, 496 - 1, 53 - 1) = "0" ), 2, IF( AND( OFFSET($A$1, 496 - 1, 52 - 1) = "0", OFFSET($A$1, 496 - 1, 53 - 1) = "1" ), 3, 4 ) ) )</f>
        <v>4</v>
      </c>
    </row>
    <row r="497" spans="51:54" x14ac:dyDescent="0.25">
      <c r="AY497" s="7">
        <v>5.8823529411764705E-2</v>
      </c>
      <c r="AZ497" s="7" t="str">
        <f>"0"</f>
        <v>0</v>
      </c>
      <c r="BA497" t="str">
        <f ca="1">IF((OFFSET($A$1, 497 - 1, 51 - 1)) &gt;= (OFFSET($A$1, 77 - 1, 7 - 1)), "1","0")</f>
        <v>0</v>
      </c>
      <c r="BB497">
        <f ca="1" xml:space="preserve"> IF( AND( OFFSET($A$1, 497 - 1, 52 - 1) = "1", OFFSET($A$1, 497 - 1, 53 - 1) = "1" ), 1, IF( AND( OFFSET($A$1, 497 - 1, 52 - 1) = "1", OFFSET($A$1, 497 - 1, 53 - 1) = "0" ), 2, IF( AND( OFFSET($A$1, 497 - 1, 52 - 1) = "0", OFFSET($A$1, 497 - 1, 53 - 1) = "1" ), 3, 4 ) ) )</f>
        <v>4</v>
      </c>
    </row>
    <row r="498" spans="51:54" x14ac:dyDescent="0.25">
      <c r="AY498" s="7">
        <v>0.88235294117647056</v>
      </c>
      <c r="AZ498" s="7" t="str">
        <f>"1"</f>
        <v>1</v>
      </c>
      <c r="BA498" t="str">
        <f ca="1">IF((OFFSET($A$1, 498 - 1, 51 - 1)) &gt;= (OFFSET($A$1, 77 - 1, 7 - 1)), "1","0")</f>
        <v>1</v>
      </c>
      <c r="BB498">
        <f ca="1" xml:space="preserve"> IF( AND( OFFSET($A$1, 498 - 1, 52 - 1) = "1", OFFSET($A$1, 498 - 1, 53 - 1) = "1" ), 1, IF( AND( OFFSET($A$1, 498 - 1, 52 - 1) = "1", OFFSET($A$1, 498 - 1, 53 - 1) = "0" ), 2, IF( AND( OFFSET($A$1, 498 - 1, 52 - 1) = "0", OFFSET($A$1, 498 - 1, 53 - 1) = "1" ), 3, 4 ) ) )</f>
        <v>1</v>
      </c>
    </row>
    <row r="499" spans="51:54" x14ac:dyDescent="0.25">
      <c r="AY499" s="7">
        <v>0.94117647058823528</v>
      </c>
      <c r="AZ499" s="7" t="str">
        <f>"1"</f>
        <v>1</v>
      </c>
      <c r="BA499" t="str">
        <f ca="1">IF((OFFSET($A$1, 499 - 1, 51 - 1)) &gt;= (OFFSET($A$1, 77 - 1, 7 - 1)), "1","0")</f>
        <v>1</v>
      </c>
      <c r="BB499">
        <f ca="1" xml:space="preserve"> IF( AND( OFFSET($A$1, 499 - 1, 52 - 1) = "1", OFFSET($A$1, 499 - 1, 53 - 1) = "1" ), 1, IF( AND( OFFSET($A$1, 499 - 1, 52 - 1) = "1", OFFSET($A$1, 499 - 1, 53 - 1) = "0" ), 2, IF( AND( OFFSET($A$1, 499 - 1, 52 - 1) = "0", OFFSET($A$1, 499 - 1, 53 - 1) = "1" ), 3, 4 ) ) )</f>
        <v>1</v>
      </c>
    </row>
    <row r="500" spans="51:54" x14ac:dyDescent="0.25">
      <c r="AY500" s="7">
        <v>0</v>
      </c>
      <c r="AZ500" s="7" t="str">
        <f>"0"</f>
        <v>0</v>
      </c>
      <c r="BA500" t="str">
        <f ca="1">IF((OFFSET($A$1, 500 - 1, 51 - 1)) &gt;= (OFFSET($A$1, 77 - 1, 7 - 1)), "1","0")</f>
        <v>0</v>
      </c>
      <c r="BB500">
        <f ca="1" xml:space="preserve"> IF( AND( OFFSET($A$1, 500 - 1, 52 - 1) = "1", OFFSET($A$1, 500 - 1, 53 - 1) = "1" ), 1, IF( AND( OFFSET($A$1, 500 - 1, 52 - 1) = "1", OFFSET($A$1, 500 - 1, 53 - 1) = "0" ), 2, IF( AND( OFFSET($A$1, 500 - 1, 52 - 1) = "0", OFFSET($A$1, 500 - 1, 53 - 1) = "1" ), 3, 4 ) ) )</f>
        <v>4</v>
      </c>
    </row>
    <row r="501" spans="51:54" x14ac:dyDescent="0.25">
      <c r="AY501" s="7">
        <v>0.23529411764705882</v>
      </c>
      <c r="AZ501" s="7" t="str">
        <f>"1"</f>
        <v>1</v>
      </c>
      <c r="BA501" t="str">
        <f ca="1">IF((OFFSET($A$1, 501 - 1, 51 - 1)) &gt;= (OFFSET($A$1, 77 - 1, 7 - 1)), "1","0")</f>
        <v>0</v>
      </c>
      <c r="BB501">
        <f ca="1" xml:space="preserve"> IF( AND( OFFSET($A$1, 501 - 1, 52 - 1) = "1", OFFSET($A$1, 501 - 1, 53 - 1) = "1" ), 1, IF( AND( OFFSET($A$1, 501 - 1, 52 - 1) = "1", OFFSET($A$1, 501 - 1, 53 - 1) = "0" ), 2, IF( AND( OFFSET($A$1, 501 - 1, 52 - 1) = "0", OFFSET($A$1, 501 - 1, 53 - 1) = "1" ), 3, 4 ) ) )</f>
        <v>2</v>
      </c>
    </row>
    <row r="502" spans="51:54" x14ac:dyDescent="0.25">
      <c r="AY502" s="7">
        <v>5.8823529411764705E-2</v>
      </c>
      <c r="AZ502" s="7" t="str">
        <f>"0"</f>
        <v>0</v>
      </c>
      <c r="BA502" t="str">
        <f ca="1">IF((OFFSET($A$1, 502 - 1, 51 - 1)) &gt;= (OFFSET($A$1, 77 - 1, 7 - 1)), "1","0")</f>
        <v>0</v>
      </c>
      <c r="BB502">
        <f ca="1" xml:space="preserve"> IF( AND( OFFSET($A$1, 502 - 1, 52 - 1) = "1", OFFSET($A$1, 502 - 1, 53 - 1) = "1" ), 1, IF( AND( OFFSET($A$1, 502 - 1, 52 - 1) = "1", OFFSET($A$1, 502 - 1, 53 - 1) = "0" ), 2, IF( AND( OFFSET($A$1, 502 - 1, 52 - 1) = "0", OFFSET($A$1, 502 - 1, 53 - 1) = "1" ), 3, 4 ) ) )</f>
        <v>4</v>
      </c>
    </row>
    <row r="503" spans="51:54" x14ac:dyDescent="0.25">
      <c r="AY503" s="7">
        <v>1</v>
      </c>
      <c r="AZ503" s="7" t="str">
        <f>"1"</f>
        <v>1</v>
      </c>
      <c r="BA503" t="str">
        <f ca="1">IF((OFFSET($A$1, 503 - 1, 51 - 1)) &gt;= (OFFSET($A$1, 77 - 1, 7 - 1)), "1","0")</f>
        <v>1</v>
      </c>
      <c r="BB503">
        <f ca="1" xml:space="preserve"> IF( AND( OFFSET($A$1, 503 - 1, 52 - 1) = "1", OFFSET($A$1, 503 - 1, 53 - 1) = "1" ), 1, IF( AND( OFFSET($A$1, 503 - 1, 52 - 1) = "1", OFFSET($A$1, 503 - 1, 53 - 1) = "0" ), 2, IF( AND( OFFSET($A$1, 503 - 1, 52 - 1) = "0", OFFSET($A$1, 503 - 1, 53 - 1) = "1" ), 3, 4 ) ) )</f>
        <v>1</v>
      </c>
    </row>
    <row r="504" spans="51:54" x14ac:dyDescent="0.25">
      <c r="AY504" s="7">
        <v>0</v>
      </c>
      <c r="AZ504" s="7" t="str">
        <f>"0"</f>
        <v>0</v>
      </c>
      <c r="BA504" t="str">
        <f ca="1">IF((OFFSET($A$1, 504 - 1, 51 - 1)) &gt;= (OFFSET($A$1, 77 - 1, 7 - 1)), "1","0")</f>
        <v>0</v>
      </c>
      <c r="BB504">
        <f ca="1" xml:space="preserve"> IF( AND( OFFSET($A$1, 504 - 1, 52 - 1) = "1", OFFSET($A$1, 504 - 1, 53 - 1) = "1" ), 1, IF( AND( OFFSET($A$1, 504 - 1, 52 - 1) = "1", OFFSET($A$1, 504 - 1, 53 - 1) = "0" ), 2, IF( AND( OFFSET($A$1, 504 - 1, 52 - 1) = "0", OFFSET($A$1, 504 - 1, 53 - 1) = "1" ), 3, 4 ) ) )</f>
        <v>4</v>
      </c>
    </row>
    <row r="505" spans="51:54" x14ac:dyDescent="0.25">
      <c r="AY505" s="7">
        <v>0.23529411764705882</v>
      </c>
      <c r="AZ505" s="7" t="str">
        <f>"0"</f>
        <v>0</v>
      </c>
      <c r="BA505" t="str">
        <f ca="1">IF((OFFSET($A$1, 505 - 1, 51 - 1)) &gt;= (OFFSET($A$1, 77 - 1, 7 - 1)), "1","0")</f>
        <v>0</v>
      </c>
      <c r="BB505">
        <f ca="1" xml:space="preserve"> IF( AND( OFFSET($A$1, 505 - 1, 52 - 1) = "1", OFFSET($A$1, 505 - 1, 53 - 1) = "1" ), 1, IF( AND( OFFSET($A$1, 505 - 1, 52 - 1) = "1", OFFSET($A$1, 505 - 1, 53 - 1) = "0" ), 2, IF( AND( OFFSET($A$1, 505 - 1, 52 - 1) = "0", OFFSET($A$1, 505 - 1, 53 - 1) = "1" ), 3, 4 ) ) )</f>
        <v>4</v>
      </c>
    </row>
    <row r="506" spans="51:54" x14ac:dyDescent="0.25">
      <c r="AY506" s="7">
        <v>0</v>
      </c>
      <c r="AZ506" s="7" t="str">
        <f>"0"</f>
        <v>0</v>
      </c>
      <c r="BA506" t="str">
        <f ca="1">IF((OFFSET($A$1, 506 - 1, 51 - 1)) &gt;= (OFFSET($A$1, 77 - 1, 7 - 1)), "1","0")</f>
        <v>0</v>
      </c>
      <c r="BB506">
        <f ca="1" xml:space="preserve"> IF( AND( OFFSET($A$1, 506 - 1, 52 - 1) = "1", OFFSET($A$1, 506 - 1, 53 - 1) = "1" ), 1, IF( AND( OFFSET($A$1, 506 - 1, 52 - 1) = "1", OFFSET($A$1, 506 - 1, 53 - 1) = "0" ), 2, IF( AND( OFFSET($A$1, 506 - 1, 52 - 1) = "0", OFFSET($A$1, 506 - 1, 53 - 1) = "1" ), 3, 4 ) ) )</f>
        <v>4</v>
      </c>
    </row>
    <row r="507" spans="51:54" x14ac:dyDescent="0.25">
      <c r="AY507" s="7">
        <v>0.94117647058823528</v>
      </c>
      <c r="AZ507" s="7" t="str">
        <f>"1"</f>
        <v>1</v>
      </c>
      <c r="BA507" t="str">
        <f ca="1">IF((OFFSET($A$1, 507 - 1, 51 - 1)) &gt;= (OFFSET($A$1, 77 - 1, 7 - 1)), "1","0")</f>
        <v>1</v>
      </c>
      <c r="BB507">
        <f ca="1" xml:space="preserve"> IF( AND( OFFSET($A$1, 507 - 1, 52 - 1) = "1", OFFSET($A$1, 507 - 1, 53 - 1) = "1" ), 1, IF( AND( OFFSET($A$1, 507 - 1, 52 - 1) = "1", OFFSET($A$1, 507 - 1, 53 - 1) = "0" ), 2, IF( AND( OFFSET($A$1, 507 - 1, 52 - 1) = "0", OFFSET($A$1, 507 - 1, 53 - 1) = "1" ), 3, 4 ) ) )</f>
        <v>1</v>
      </c>
    </row>
    <row r="508" spans="51:54" x14ac:dyDescent="0.25">
      <c r="AY508" s="7">
        <v>0</v>
      </c>
      <c r="AZ508" s="7" t="str">
        <f>"0"</f>
        <v>0</v>
      </c>
      <c r="BA508" t="str">
        <f ca="1">IF((OFFSET($A$1, 508 - 1, 51 - 1)) &gt;= (OFFSET($A$1, 77 - 1, 7 - 1)), "1","0")</f>
        <v>0</v>
      </c>
      <c r="BB508">
        <f ca="1" xml:space="preserve"> IF( AND( OFFSET($A$1, 508 - 1, 52 - 1) = "1", OFFSET($A$1, 508 - 1, 53 - 1) = "1" ), 1, IF( AND( OFFSET($A$1, 508 - 1, 52 - 1) = "1", OFFSET($A$1, 508 - 1, 53 - 1) = "0" ), 2, IF( AND( OFFSET($A$1, 508 - 1, 52 - 1) = "0", OFFSET($A$1, 508 - 1, 53 - 1) = "1" ), 3, 4 ) ) )</f>
        <v>4</v>
      </c>
    </row>
    <row r="509" spans="51:54" x14ac:dyDescent="0.25">
      <c r="AY509" s="7">
        <v>0</v>
      </c>
      <c r="AZ509" s="7" t="str">
        <f>"0"</f>
        <v>0</v>
      </c>
      <c r="BA509" t="str">
        <f ca="1">IF((OFFSET($A$1, 509 - 1, 51 - 1)) &gt;= (OFFSET($A$1, 77 - 1, 7 - 1)), "1","0")</f>
        <v>0</v>
      </c>
      <c r="BB509">
        <f ca="1" xml:space="preserve"> IF( AND( OFFSET($A$1, 509 - 1, 52 - 1) = "1", OFFSET($A$1, 509 - 1, 53 - 1) = "1" ), 1, IF( AND( OFFSET($A$1, 509 - 1, 52 - 1) = "1", OFFSET($A$1, 509 - 1, 53 - 1) = "0" ), 2, IF( AND( OFFSET($A$1, 509 - 1, 52 - 1) = "0", OFFSET($A$1, 509 - 1, 53 - 1) = "1" ), 3, 4 ) ) )</f>
        <v>4</v>
      </c>
    </row>
    <row r="510" spans="51:54" x14ac:dyDescent="0.25">
      <c r="AY510" s="7">
        <v>0.76470588235294112</v>
      </c>
      <c r="AZ510" s="7" t="str">
        <f>"1"</f>
        <v>1</v>
      </c>
      <c r="BA510" t="str">
        <f ca="1">IF((OFFSET($A$1, 510 - 1, 51 - 1)) &gt;= (OFFSET($A$1, 77 - 1, 7 - 1)), "1","0")</f>
        <v>1</v>
      </c>
      <c r="BB510">
        <f ca="1" xml:space="preserve"> IF( AND( OFFSET($A$1, 510 - 1, 52 - 1) = "1", OFFSET($A$1, 510 - 1, 53 - 1) = "1" ), 1, IF( AND( OFFSET($A$1, 510 - 1, 52 - 1) = "1", OFFSET($A$1, 510 - 1, 53 - 1) = "0" ), 2, IF( AND( OFFSET($A$1, 510 - 1, 52 - 1) = "0", OFFSET($A$1, 510 - 1, 53 - 1) = "1" ), 3, 4 ) ) )</f>
        <v>1</v>
      </c>
    </row>
    <row r="511" spans="51:54" x14ac:dyDescent="0.25">
      <c r="AY511" s="7">
        <v>0</v>
      </c>
      <c r="AZ511" s="7" t="str">
        <f>"0"</f>
        <v>0</v>
      </c>
      <c r="BA511" t="str">
        <f ca="1">IF((OFFSET($A$1, 511 - 1, 51 - 1)) &gt;= (OFFSET($A$1, 77 - 1, 7 - 1)), "1","0")</f>
        <v>0</v>
      </c>
      <c r="BB511">
        <f ca="1" xml:space="preserve"> IF( AND( OFFSET($A$1, 511 - 1, 52 - 1) = "1", OFFSET($A$1, 511 - 1, 53 - 1) = "1" ), 1, IF( AND( OFFSET($A$1, 511 - 1, 52 - 1) = "1", OFFSET($A$1, 511 - 1, 53 - 1) = "0" ), 2, IF( AND( OFFSET($A$1, 511 - 1, 52 - 1) = "0", OFFSET($A$1, 511 - 1, 53 - 1) = "1" ), 3, 4 ) ) )</f>
        <v>4</v>
      </c>
    </row>
    <row r="512" spans="51:54" x14ac:dyDescent="0.25">
      <c r="AY512" s="7">
        <v>0.6470588235294118</v>
      </c>
      <c r="AZ512" s="7" t="str">
        <f>"0"</f>
        <v>0</v>
      </c>
      <c r="BA512" t="str">
        <f ca="1">IF((OFFSET($A$1, 512 - 1, 51 - 1)) &gt;= (OFFSET($A$1, 77 - 1, 7 - 1)), "1","0")</f>
        <v>1</v>
      </c>
      <c r="BB512">
        <f ca="1" xml:space="preserve"> IF( AND( OFFSET($A$1, 512 - 1, 52 - 1) = "1", OFFSET($A$1, 512 - 1, 53 - 1) = "1" ), 1, IF( AND( OFFSET($A$1, 512 - 1, 52 - 1) = "1", OFFSET($A$1, 512 - 1, 53 - 1) = "0" ), 2, IF( AND( OFFSET($A$1, 512 - 1, 52 - 1) = "0", OFFSET($A$1, 512 - 1, 53 - 1) = "1" ), 3, 4 ) ) )</f>
        <v>3</v>
      </c>
    </row>
    <row r="513" spans="51:54" x14ac:dyDescent="0.25">
      <c r="AY513" s="7">
        <v>0.94117647058823528</v>
      </c>
      <c r="AZ513" s="7" t="str">
        <f>"1"</f>
        <v>1</v>
      </c>
      <c r="BA513" t="str">
        <f ca="1">IF((OFFSET($A$1, 513 - 1, 51 - 1)) &gt;= (OFFSET($A$1, 77 - 1, 7 - 1)), "1","0")</f>
        <v>1</v>
      </c>
      <c r="BB513">
        <f ca="1" xml:space="preserve"> IF( AND( OFFSET($A$1, 513 - 1, 52 - 1) = "1", OFFSET($A$1, 513 - 1, 53 - 1) = "1" ), 1, IF( AND( OFFSET($A$1, 513 - 1, 52 - 1) = "1", OFFSET($A$1, 513 - 1, 53 - 1) = "0" ), 2, IF( AND( OFFSET($A$1, 513 - 1, 52 - 1) = "0", OFFSET($A$1, 513 - 1, 53 - 1) = "1" ), 3, 4 ) ) )</f>
        <v>1</v>
      </c>
    </row>
    <row r="514" spans="51:54" x14ac:dyDescent="0.25">
      <c r="AY514" s="7">
        <v>0</v>
      </c>
      <c r="AZ514" s="7" t="str">
        <f>"0"</f>
        <v>0</v>
      </c>
      <c r="BA514" t="str">
        <f ca="1">IF((OFFSET($A$1, 514 - 1, 51 - 1)) &gt;= (OFFSET($A$1, 77 - 1, 7 - 1)), "1","0")</f>
        <v>0</v>
      </c>
      <c r="BB514">
        <f ca="1" xml:space="preserve"> IF( AND( OFFSET($A$1, 514 - 1, 52 - 1) = "1", OFFSET($A$1, 514 - 1, 53 - 1) = "1" ), 1, IF( AND( OFFSET($A$1, 514 - 1, 52 - 1) = "1", OFFSET($A$1, 514 - 1, 53 - 1) = "0" ), 2, IF( AND( OFFSET($A$1, 514 - 1, 52 - 1) = "0", OFFSET($A$1, 514 - 1, 53 - 1) = "1" ), 3, 4 ) ) )</f>
        <v>4</v>
      </c>
    </row>
    <row r="515" spans="51:54" x14ac:dyDescent="0.25">
      <c r="AY515" s="7">
        <v>0</v>
      </c>
      <c r="AZ515" s="7" t="str">
        <f>"0"</f>
        <v>0</v>
      </c>
      <c r="BA515" t="str">
        <f ca="1">IF((OFFSET($A$1, 515 - 1, 51 - 1)) &gt;= (OFFSET($A$1, 77 - 1, 7 - 1)), "1","0")</f>
        <v>0</v>
      </c>
      <c r="BB515">
        <f ca="1" xml:space="preserve"> IF( AND( OFFSET($A$1, 515 - 1, 52 - 1) = "1", OFFSET($A$1, 515 - 1, 53 - 1) = "1" ), 1, IF( AND( OFFSET($A$1, 515 - 1, 52 - 1) = "1", OFFSET($A$1, 515 - 1, 53 - 1) = "0" ), 2, IF( AND( OFFSET($A$1, 515 - 1, 52 - 1) = "0", OFFSET($A$1, 515 - 1, 53 - 1) = "1" ), 3, 4 ) ) )</f>
        <v>4</v>
      </c>
    </row>
    <row r="516" spans="51:54" x14ac:dyDescent="0.25">
      <c r="AY516" s="7">
        <v>0</v>
      </c>
      <c r="AZ516" s="7" t="str">
        <f>"0"</f>
        <v>0</v>
      </c>
      <c r="BA516" t="str">
        <f ca="1">IF((OFFSET($A$1, 516 - 1, 51 - 1)) &gt;= (OFFSET($A$1, 77 - 1, 7 - 1)), "1","0")</f>
        <v>0</v>
      </c>
      <c r="BB516">
        <f ca="1" xml:space="preserve"> IF( AND( OFFSET($A$1, 516 - 1, 52 - 1) = "1", OFFSET($A$1, 516 - 1, 53 - 1) = "1" ), 1, IF( AND( OFFSET($A$1, 516 - 1, 52 - 1) = "1", OFFSET($A$1, 516 - 1, 53 - 1) = "0" ), 2, IF( AND( OFFSET($A$1, 516 - 1, 52 - 1) = "0", OFFSET($A$1, 516 - 1, 53 - 1) = "1" ), 3, 4 ) ) )</f>
        <v>4</v>
      </c>
    </row>
    <row r="517" spans="51:54" x14ac:dyDescent="0.25">
      <c r="AY517" s="7">
        <v>0</v>
      </c>
      <c r="AZ517" s="7" t="str">
        <f>"0"</f>
        <v>0</v>
      </c>
      <c r="BA517" t="str">
        <f ca="1">IF((OFFSET($A$1, 517 - 1, 51 - 1)) &gt;= (OFFSET($A$1, 77 - 1, 7 - 1)), "1","0")</f>
        <v>0</v>
      </c>
      <c r="BB517">
        <f ca="1" xml:space="preserve"> IF( AND( OFFSET($A$1, 517 - 1, 52 - 1) = "1", OFFSET($A$1, 517 - 1, 53 - 1) = "1" ), 1, IF( AND( OFFSET($A$1, 517 - 1, 52 - 1) = "1", OFFSET($A$1, 517 - 1, 53 - 1) = "0" ), 2, IF( AND( OFFSET($A$1, 517 - 1, 52 - 1) = "0", OFFSET($A$1, 517 - 1, 53 - 1) = "1" ), 3, 4 ) ) )</f>
        <v>4</v>
      </c>
    </row>
    <row r="518" spans="51:54" x14ac:dyDescent="0.25">
      <c r="AY518" s="7">
        <v>1</v>
      </c>
      <c r="AZ518" s="7" t="str">
        <f>"1"</f>
        <v>1</v>
      </c>
      <c r="BA518" t="str">
        <f ca="1">IF((OFFSET($A$1, 518 - 1, 51 - 1)) &gt;= (OFFSET($A$1, 77 - 1, 7 - 1)), "1","0")</f>
        <v>1</v>
      </c>
      <c r="BB518">
        <f ca="1" xml:space="preserve"> IF( AND( OFFSET($A$1, 518 - 1, 52 - 1) = "1", OFFSET($A$1, 518 - 1, 53 - 1) = "1" ), 1, IF( AND( OFFSET($A$1, 518 - 1, 52 - 1) = "1", OFFSET($A$1, 518 - 1, 53 - 1) = "0" ), 2, IF( AND( OFFSET($A$1, 518 - 1, 52 - 1) = "0", OFFSET($A$1, 518 - 1, 53 - 1) = "1" ), 3, 4 ) ) )</f>
        <v>1</v>
      </c>
    </row>
    <row r="519" spans="51:54" x14ac:dyDescent="0.25">
      <c r="AY519" s="7">
        <v>0.82352941176470584</v>
      </c>
      <c r="AZ519" s="7" t="str">
        <f>"1"</f>
        <v>1</v>
      </c>
      <c r="BA519" t="str">
        <f ca="1">IF((OFFSET($A$1, 519 - 1, 51 - 1)) &gt;= (OFFSET($A$1, 77 - 1, 7 - 1)), "1","0")</f>
        <v>1</v>
      </c>
      <c r="BB519">
        <f ca="1" xml:space="preserve"> IF( AND( OFFSET($A$1, 519 - 1, 52 - 1) = "1", OFFSET($A$1, 519 - 1, 53 - 1) = "1" ), 1, IF( AND( OFFSET($A$1, 519 - 1, 52 - 1) = "1", OFFSET($A$1, 519 - 1, 53 - 1) = "0" ), 2, IF( AND( OFFSET($A$1, 519 - 1, 52 - 1) = "0", OFFSET($A$1, 519 - 1, 53 - 1) = "1" ), 3, 4 ) ) )</f>
        <v>1</v>
      </c>
    </row>
    <row r="520" spans="51:54" x14ac:dyDescent="0.25">
      <c r="AY520" s="7">
        <v>0.23529411764705882</v>
      </c>
      <c r="AZ520" s="7" t="str">
        <f>"0"</f>
        <v>0</v>
      </c>
      <c r="BA520" t="str">
        <f ca="1">IF((OFFSET($A$1, 520 - 1, 51 - 1)) &gt;= (OFFSET($A$1, 77 - 1, 7 - 1)), "1","0")</f>
        <v>0</v>
      </c>
      <c r="BB520">
        <f ca="1" xml:space="preserve"> IF( AND( OFFSET($A$1, 520 - 1, 52 - 1) = "1", OFFSET($A$1, 520 - 1, 53 - 1) = "1" ), 1, IF( AND( OFFSET($A$1, 520 - 1, 52 - 1) = "1", OFFSET($A$1, 520 - 1, 53 - 1) = "0" ), 2, IF( AND( OFFSET($A$1, 520 - 1, 52 - 1) = "0", OFFSET($A$1, 520 - 1, 53 - 1) = "1" ), 3, 4 ) ) )</f>
        <v>4</v>
      </c>
    </row>
    <row r="521" spans="51:54" x14ac:dyDescent="0.25">
      <c r="AY521" s="7">
        <v>0.82352941176470584</v>
      </c>
      <c r="AZ521" s="7" t="str">
        <f>"1"</f>
        <v>1</v>
      </c>
      <c r="BA521" t="str">
        <f ca="1">IF((OFFSET($A$1, 521 - 1, 51 - 1)) &gt;= (OFFSET($A$1, 77 - 1, 7 - 1)), "1","0")</f>
        <v>1</v>
      </c>
      <c r="BB521">
        <f ca="1" xml:space="preserve"> IF( AND( OFFSET($A$1, 521 - 1, 52 - 1) = "1", OFFSET($A$1, 521 - 1, 53 - 1) = "1" ), 1, IF( AND( OFFSET($A$1, 521 - 1, 52 - 1) = "1", OFFSET($A$1, 521 - 1, 53 - 1) = "0" ), 2, IF( AND( OFFSET($A$1, 521 - 1, 52 - 1) = "0", OFFSET($A$1, 521 - 1, 53 - 1) = "1" ), 3, 4 ) ) )</f>
        <v>1</v>
      </c>
    </row>
    <row r="522" spans="51:54" x14ac:dyDescent="0.25">
      <c r="AY522" s="7">
        <v>0.23529411764705882</v>
      </c>
      <c r="AZ522" s="7" t="str">
        <f>"0"</f>
        <v>0</v>
      </c>
      <c r="BA522" t="str">
        <f ca="1">IF((OFFSET($A$1, 522 - 1, 51 - 1)) &gt;= (OFFSET($A$1, 77 - 1, 7 - 1)), "1","0")</f>
        <v>0</v>
      </c>
      <c r="BB522">
        <f ca="1" xml:space="preserve"> IF( AND( OFFSET($A$1, 522 - 1, 52 - 1) = "1", OFFSET($A$1, 522 - 1, 53 - 1) = "1" ), 1, IF( AND( OFFSET($A$1, 522 - 1, 52 - 1) = "1", OFFSET($A$1, 522 - 1, 53 - 1) = "0" ), 2, IF( AND( OFFSET($A$1, 522 - 1, 52 - 1) = "0", OFFSET($A$1, 522 - 1, 53 - 1) = "1" ), 3, 4 ) ) )</f>
        <v>4</v>
      </c>
    </row>
    <row r="523" spans="51:54" x14ac:dyDescent="0.25">
      <c r="AY523" s="7">
        <v>0.29411764705882354</v>
      </c>
      <c r="AZ523" s="7" t="str">
        <f>"0"</f>
        <v>0</v>
      </c>
      <c r="BA523" t="str">
        <f ca="1">IF((OFFSET($A$1, 523 - 1, 51 - 1)) &gt;= (OFFSET($A$1, 77 - 1, 7 - 1)), "1","0")</f>
        <v>0</v>
      </c>
      <c r="BB523">
        <f ca="1" xml:space="preserve"> IF( AND( OFFSET($A$1, 523 - 1, 52 - 1) = "1", OFFSET($A$1, 523 - 1, 53 - 1) = "1" ), 1, IF( AND( OFFSET($A$1, 523 - 1, 52 - 1) = "1", OFFSET($A$1, 523 - 1, 53 - 1) = "0" ), 2, IF( AND( OFFSET($A$1, 523 - 1, 52 - 1) = "0", OFFSET($A$1, 523 - 1, 53 - 1) = "1" ), 3, 4 ) ) )</f>
        <v>4</v>
      </c>
    </row>
    <row r="524" spans="51:54" x14ac:dyDescent="0.25">
      <c r="AY524" s="7">
        <v>0.88235294117647056</v>
      </c>
      <c r="AZ524" s="7" t="str">
        <f>"1"</f>
        <v>1</v>
      </c>
      <c r="BA524" t="str">
        <f ca="1">IF((OFFSET($A$1, 524 - 1, 51 - 1)) &gt;= (OFFSET($A$1, 77 - 1, 7 - 1)), "1","0")</f>
        <v>1</v>
      </c>
      <c r="BB524">
        <f ca="1" xml:space="preserve"> IF( AND( OFFSET($A$1, 524 - 1, 52 - 1) = "1", OFFSET($A$1, 524 - 1, 53 - 1) = "1" ), 1, IF( AND( OFFSET($A$1, 524 - 1, 52 - 1) = "1", OFFSET($A$1, 524 - 1, 53 - 1) = "0" ), 2, IF( AND( OFFSET($A$1, 524 - 1, 52 - 1) = "0", OFFSET($A$1, 524 - 1, 53 - 1) = "1" ), 3, 4 ) ) )</f>
        <v>1</v>
      </c>
    </row>
    <row r="525" spans="51:54" x14ac:dyDescent="0.25">
      <c r="AY525" s="7">
        <v>0</v>
      </c>
      <c r="AZ525" s="7" t="str">
        <f>"0"</f>
        <v>0</v>
      </c>
      <c r="BA525" t="str">
        <f ca="1">IF((OFFSET($A$1, 525 - 1, 51 - 1)) &gt;= (OFFSET($A$1, 77 - 1, 7 - 1)), "1","0")</f>
        <v>0</v>
      </c>
      <c r="BB525">
        <f ca="1" xml:space="preserve"> IF( AND( OFFSET($A$1, 525 - 1, 52 - 1) = "1", OFFSET($A$1, 525 - 1, 53 - 1) = "1" ), 1, IF( AND( OFFSET($A$1, 525 - 1, 52 - 1) = "1", OFFSET($A$1, 525 - 1, 53 - 1) = "0" ), 2, IF( AND( OFFSET($A$1, 525 - 1, 52 - 1) = "0", OFFSET($A$1, 525 - 1, 53 - 1) = "1" ), 3, 4 ) ) )</f>
        <v>4</v>
      </c>
    </row>
    <row r="526" spans="51:54" x14ac:dyDescent="0.25">
      <c r="AY526" s="7">
        <v>0.23529411764705882</v>
      </c>
      <c r="AZ526" s="7" t="str">
        <f>"0"</f>
        <v>0</v>
      </c>
      <c r="BA526" t="str">
        <f ca="1">IF((OFFSET($A$1, 526 - 1, 51 - 1)) &gt;= (OFFSET($A$1, 77 - 1, 7 - 1)), "1","0")</f>
        <v>0</v>
      </c>
      <c r="BB526">
        <f ca="1" xml:space="preserve"> IF( AND( OFFSET($A$1, 526 - 1, 52 - 1) = "1", OFFSET($A$1, 526 - 1, 53 - 1) = "1" ), 1, IF( AND( OFFSET($A$1, 526 - 1, 52 - 1) = "1", OFFSET($A$1, 526 - 1, 53 - 1) = "0" ), 2, IF( AND( OFFSET($A$1, 526 - 1, 52 - 1) = "0", OFFSET($A$1, 526 - 1, 53 - 1) = "1" ), 3, 4 ) ) )</f>
        <v>4</v>
      </c>
    </row>
    <row r="527" spans="51:54" x14ac:dyDescent="0.25">
      <c r="AY527" s="7">
        <v>0.23529411764705882</v>
      </c>
      <c r="AZ527" s="7" t="str">
        <f>"0"</f>
        <v>0</v>
      </c>
      <c r="BA527" t="str">
        <f ca="1">IF((OFFSET($A$1, 527 - 1, 51 - 1)) &gt;= (OFFSET($A$1, 77 - 1, 7 - 1)), "1","0")</f>
        <v>0</v>
      </c>
      <c r="BB527">
        <f ca="1" xml:space="preserve"> IF( AND( OFFSET($A$1, 527 - 1, 52 - 1) = "1", OFFSET($A$1, 527 - 1, 53 - 1) = "1" ), 1, IF( AND( OFFSET($A$1, 527 - 1, 52 - 1) = "1", OFFSET($A$1, 527 - 1, 53 - 1) = "0" ), 2, IF( AND( OFFSET($A$1, 527 - 1, 52 - 1) = "0", OFFSET($A$1, 527 - 1, 53 - 1) = "1" ), 3, 4 ) ) )</f>
        <v>4</v>
      </c>
    </row>
    <row r="528" spans="51:54" x14ac:dyDescent="0.25">
      <c r="AY528" s="7">
        <v>0.17647058823529413</v>
      </c>
      <c r="AZ528" s="7" t="str">
        <f>"0"</f>
        <v>0</v>
      </c>
      <c r="BA528" t="str">
        <f ca="1">IF((OFFSET($A$1, 528 - 1, 51 - 1)) &gt;= (OFFSET($A$1, 77 - 1, 7 - 1)), "1","0")</f>
        <v>0</v>
      </c>
      <c r="BB528">
        <f ca="1" xml:space="preserve"> IF( AND( OFFSET($A$1, 528 - 1, 52 - 1) = "1", OFFSET($A$1, 528 - 1, 53 - 1) = "1" ), 1, IF( AND( OFFSET($A$1, 528 - 1, 52 - 1) = "1", OFFSET($A$1, 528 - 1, 53 - 1) = "0" ), 2, IF( AND( OFFSET($A$1, 528 - 1, 52 - 1) = "0", OFFSET($A$1, 528 - 1, 53 - 1) = "1" ), 3, 4 ) ) )</f>
        <v>4</v>
      </c>
    </row>
    <row r="529" spans="51:54" x14ac:dyDescent="0.25">
      <c r="AY529" s="7">
        <v>0</v>
      </c>
      <c r="AZ529" s="7" t="str">
        <f>"0"</f>
        <v>0</v>
      </c>
      <c r="BA529" t="str">
        <f ca="1">IF((OFFSET($A$1, 529 - 1, 51 - 1)) &gt;= (OFFSET($A$1, 77 - 1, 7 - 1)), "1","0")</f>
        <v>0</v>
      </c>
      <c r="BB529">
        <f ca="1" xml:space="preserve"> IF( AND( OFFSET($A$1, 529 - 1, 52 - 1) = "1", OFFSET($A$1, 529 - 1, 53 - 1) = "1" ), 1, IF( AND( OFFSET($A$1, 529 - 1, 52 - 1) = "1", OFFSET($A$1, 529 - 1, 53 - 1) = "0" ), 2, IF( AND( OFFSET($A$1, 529 - 1, 52 - 1) = "0", OFFSET($A$1, 529 - 1, 53 - 1) = "1" ), 3, 4 ) ) )</f>
        <v>4</v>
      </c>
    </row>
    <row r="530" spans="51:54" x14ac:dyDescent="0.25">
      <c r="AY530" s="7">
        <v>1</v>
      </c>
      <c r="AZ530" s="7" t="str">
        <f>"1"</f>
        <v>1</v>
      </c>
      <c r="BA530" t="str">
        <f ca="1">IF((OFFSET($A$1, 530 - 1, 51 - 1)) &gt;= (OFFSET($A$1, 77 - 1, 7 - 1)), "1","0")</f>
        <v>1</v>
      </c>
      <c r="BB530">
        <f ca="1" xml:space="preserve"> IF( AND( OFFSET($A$1, 530 - 1, 52 - 1) = "1", OFFSET($A$1, 530 - 1, 53 - 1) = "1" ), 1, IF( AND( OFFSET($A$1, 530 - 1, 52 - 1) = "1", OFFSET($A$1, 530 - 1, 53 - 1) = "0" ), 2, IF( AND( OFFSET($A$1, 530 - 1, 52 - 1) = "0", OFFSET($A$1, 530 - 1, 53 - 1) = "1" ), 3, 4 ) ) )</f>
        <v>1</v>
      </c>
    </row>
    <row r="531" spans="51:54" x14ac:dyDescent="0.25">
      <c r="AY531" s="7">
        <v>0.47058823529411764</v>
      </c>
      <c r="AZ531" s="7" t="str">
        <f>"0"</f>
        <v>0</v>
      </c>
      <c r="BA531" t="str">
        <f ca="1">IF((OFFSET($A$1, 531 - 1, 51 - 1)) &gt;= (OFFSET($A$1, 77 - 1, 7 - 1)), "1","0")</f>
        <v>0</v>
      </c>
      <c r="BB531">
        <f ca="1" xml:space="preserve"> IF( AND( OFFSET($A$1, 531 - 1, 52 - 1) = "1", OFFSET($A$1, 531 - 1, 53 - 1) = "1" ), 1, IF( AND( OFFSET($A$1, 531 - 1, 52 - 1) = "1", OFFSET($A$1, 531 - 1, 53 - 1) = "0" ), 2, IF( AND( OFFSET($A$1, 531 - 1, 52 - 1) = "0", OFFSET($A$1, 531 - 1, 53 - 1) = "1" ), 3, 4 ) ) )</f>
        <v>4</v>
      </c>
    </row>
    <row r="532" spans="51:54" x14ac:dyDescent="0.25">
      <c r="AY532" s="7">
        <v>0</v>
      </c>
      <c r="AZ532" s="7" t="str">
        <f>"0"</f>
        <v>0</v>
      </c>
      <c r="BA532" t="str">
        <f ca="1">IF((OFFSET($A$1, 532 - 1, 51 - 1)) &gt;= (OFFSET($A$1, 77 - 1, 7 - 1)), "1","0")</f>
        <v>0</v>
      </c>
      <c r="BB532">
        <f ca="1" xml:space="preserve"> IF( AND( OFFSET($A$1, 532 - 1, 52 - 1) = "1", OFFSET($A$1, 532 - 1, 53 - 1) = "1" ), 1, IF( AND( OFFSET($A$1, 532 - 1, 52 - 1) = "1", OFFSET($A$1, 532 - 1, 53 - 1) = "0" ), 2, IF( AND( OFFSET($A$1, 532 - 1, 52 - 1) = "0", OFFSET($A$1, 532 - 1, 53 - 1) = "1" ), 3, 4 ) ) )</f>
        <v>4</v>
      </c>
    </row>
    <row r="533" spans="51:54" x14ac:dyDescent="0.25">
      <c r="AY533" s="7">
        <v>0</v>
      </c>
      <c r="AZ533" s="7" t="str">
        <f>"0"</f>
        <v>0</v>
      </c>
      <c r="BA533" t="str">
        <f ca="1">IF((OFFSET($A$1, 533 - 1, 51 - 1)) &gt;= (OFFSET($A$1, 77 - 1, 7 - 1)), "1","0")</f>
        <v>0</v>
      </c>
      <c r="BB533">
        <f ca="1" xml:space="preserve"> IF( AND( OFFSET($A$1, 533 - 1, 52 - 1) = "1", OFFSET($A$1, 533 - 1, 53 - 1) = "1" ), 1, IF( AND( OFFSET($A$1, 533 - 1, 52 - 1) = "1", OFFSET($A$1, 533 - 1, 53 - 1) = "0" ), 2, IF( AND( OFFSET($A$1, 533 - 1, 52 - 1) = "0", OFFSET($A$1, 533 - 1, 53 - 1) = "1" ), 3, 4 ) ) )</f>
        <v>4</v>
      </c>
    </row>
    <row r="534" spans="51:54" x14ac:dyDescent="0.25">
      <c r="AY534" s="7">
        <v>0.52941176470588236</v>
      </c>
      <c r="AZ534" s="7" t="str">
        <f>"1"</f>
        <v>1</v>
      </c>
      <c r="BA534" t="str">
        <f ca="1">IF((OFFSET($A$1, 534 - 1, 51 - 1)) &gt;= (OFFSET($A$1, 77 - 1, 7 - 1)), "1","0")</f>
        <v>1</v>
      </c>
      <c r="BB534">
        <f ca="1" xml:space="preserve"> IF( AND( OFFSET($A$1, 534 - 1, 52 - 1) = "1", OFFSET($A$1, 534 - 1, 53 - 1) = "1" ), 1, IF( AND( OFFSET($A$1, 534 - 1, 52 - 1) = "1", OFFSET($A$1, 534 - 1, 53 - 1) = "0" ), 2, IF( AND( OFFSET($A$1, 534 - 1, 52 - 1) = "0", OFFSET($A$1, 534 - 1, 53 - 1) = "1" ), 3, 4 ) ) )</f>
        <v>1</v>
      </c>
    </row>
    <row r="535" spans="51:54" x14ac:dyDescent="0.25">
      <c r="AY535" s="7">
        <v>0</v>
      </c>
      <c r="AZ535" s="7" t="str">
        <f>"0"</f>
        <v>0</v>
      </c>
      <c r="BA535" t="str">
        <f ca="1">IF((OFFSET($A$1, 535 - 1, 51 - 1)) &gt;= (OFFSET($A$1, 77 - 1, 7 - 1)), "1","0")</f>
        <v>0</v>
      </c>
      <c r="BB535">
        <f ca="1" xml:space="preserve"> IF( AND( OFFSET($A$1, 535 - 1, 52 - 1) = "1", OFFSET($A$1, 535 - 1, 53 - 1) = "1" ), 1, IF( AND( OFFSET($A$1, 535 - 1, 52 - 1) = "1", OFFSET($A$1, 535 - 1, 53 - 1) = "0" ), 2, IF( AND( OFFSET($A$1, 535 - 1, 52 - 1) = "0", OFFSET($A$1, 535 - 1, 53 - 1) = "1" ), 3, 4 ) ) )</f>
        <v>4</v>
      </c>
    </row>
    <row r="536" spans="51:54" x14ac:dyDescent="0.25">
      <c r="AY536" s="7">
        <v>1</v>
      </c>
      <c r="AZ536" s="7" t="str">
        <f>"1"</f>
        <v>1</v>
      </c>
      <c r="BA536" t="str">
        <f ca="1">IF((OFFSET($A$1, 536 - 1, 51 - 1)) &gt;= (OFFSET($A$1, 77 - 1, 7 - 1)), "1","0")</f>
        <v>1</v>
      </c>
      <c r="BB536">
        <f ca="1" xml:space="preserve"> IF( AND( OFFSET($A$1, 536 - 1, 52 - 1) = "1", OFFSET($A$1, 536 - 1, 53 - 1) = "1" ), 1, IF( AND( OFFSET($A$1, 536 - 1, 52 - 1) = "1", OFFSET($A$1, 536 - 1, 53 - 1) = "0" ), 2, IF( AND( OFFSET($A$1, 536 - 1, 52 - 1) = "0", OFFSET($A$1, 536 - 1, 53 - 1) = "1" ), 3, 4 ) ) )</f>
        <v>1</v>
      </c>
    </row>
    <row r="537" spans="51:54" x14ac:dyDescent="0.25">
      <c r="AY537" s="7">
        <v>0</v>
      </c>
      <c r="AZ537" s="7" t="str">
        <f>"0"</f>
        <v>0</v>
      </c>
      <c r="BA537" t="str">
        <f ca="1">IF((OFFSET($A$1, 537 - 1, 51 - 1)) &gt;= (OFFSET($A$1, 77 - 1, 7 - 1)), "1","0")</f>
        <v>0</v>
      </c>
      <c r="BB537">
        <f ca="1" xml:space="preserve"> IF( AND( OFFSET($A$1, 537 - 1, 52 - 1) = "1", OFFSET($A$1, 537 - 1, 53 - 1) = "1" ), 1, IF( AND( OFFSET($A$1, 537 - 1, 52 - 1) = "1", OFFSET($A$1, 537 - 1, 53 - 1) = "0" ), 2, IF( AND( OFFSET($A$1, 537 - 1, 52 - 1) = "0", OFFSET($A$1, 537 - 1, 53 - 1) = "1" ), 3, 4 ) ) )</f>
        <v>4</v>
      </c>
    </row>
    <row r="538" spans="51:54" x14ac:dyDescent="0.25">
      <c r="AY538" s="7">
        <v>0</v>
      </c>
      <c r="AZ538" s="7" t="str">
        <f>"0"</f>
        <v>0</v>
      </c>
      <c r="BA538" t="str">
        <f ca="1">IF((OFFSET($A$1, 538 - 1, 51 - 1)) &gt;= (OFFSET($A$1, 77 - 1, 7 - 1)), "1","0")</f>
        <v>0</v>
      </c>
      <c r="BB538">
        <f ca="1" xml:space="preserve"> IF( AND( OFFSET($A$1, 538 - 1, 52 - 1) = "1", OFFSET($A$1, 538 - 1, 53 - 1) = "1" ), 1, IF( AND( OFFSET($A$1, 538 - 1, 52 - 1) = "1", OFFSET($A$1, 538 - 1, 53 - 1) = "0" ), 2, IF( AND( OFFSET($A$1, 538 - 1, 52 - 1) = "0", OFFSET($A$1, 538 - 1, 53 - 1) = "1" ), 3, 4 ) ) )</f>
        <v>4</v>
      </c>
    </row>
    <row r="539" spans="51:54" x14ac:dyDescent="0.25">
      <c r="AY539" s="7">
        <v>1</v>
      </c>
      <c r="AZ539" s="7" t="str">
        <f>"1"</f>
        <v>1</v>
      </c>
      <c r="BA539" t="str">
        <f ca="1">IF((OFFSET($A$1, 539 - 1, 51 - 1)) &gt;= (OFFSET($A$1, 77 - 1, 7 - 1)), "1","0")</f>
        <v>1</v>
      </c>
      <c r="BB539">
        <f ca="1" xml:space="preserve"> IF( AND( OFFSET($A$1, 539 - 1, 52 - 1) = "1", OFFSET($A$1, 539 - 1, 53 - 1) = "1" ), 1, IF( AND( OFFSET($A$1, 539 - 1, 52 - 1) = "1", OFFSET($A$1, 539 - 1, 53 - 1) = "0" ), 2, IF( AND( OFFSET($A$1, 539 - 1, 52 - 1) = "0", OFFSET($A$1, 539 - 1, 53 - 1) = "1" ), 3, 4 ) ) )</f>
        <v>1</v>
      </c>
    </row>
    <row r="540" spans="51:54" x14ac:dyDescent="0.25">
      <c r="AY540" s="7">
        <v>0</v>
      </c>
      <c r="AZ540" s="7" t="str">
        <f>"0"</f>
        <v>0</v>
      </c>
      <c r="BA540" t="str">
        <f ca="1">IF((OFFSET($A$1, 540 - 1, 51 - 1)) &gt;= (OFFSET($A$1, 77 - 1, 7 - 1)), "1","0")</f>
        <v>0</v>
      </c>
      <c r="BB540">
        <f ca="1" xml:space="preserve"> IF( AND( OFFSET($A$1, 540 - 1, 52 - 1) = "1", OFFSET($A$1, 540 - 1, 53 - 1) = "1" ), 1, IF( AND( OFFSET($A$1, 540 - 1, 52 - 1) = "1", OFFSET($A$1, 540 - 1, 53 - 1) = "0" ), 2, IF( AND( OFFSET($A$1, 540 - 1, 52 - 1) = "0", OFFSET($A$1, 540 - 1, 53 - 1) = "1" ), 3, 4 ) ) )</f>
        <v>4</v>
      </c>
    </row>
    <row r="541" spans="51:54" x14ac:dyDescent="0.25">
      <c r="AY541" s="7">
        <v>0</v>
      </c>
      <c r="AZ541" s="7" t="str">
        <f>"0"</f>
        <v>0</v>
      </c>
      <c r="BA541" t="str">
        <f ca="1">IF((OFFSET($A$1, 541 - 1, 51 - 1)) &gt;= (OFFSET($A$1, 77 - 1, 7 - 1)), "1","0")</f>
        <v>0</v>
      </c>
      <c r="BB541">
        <f ca="1" xml:space="preserve"> IF( AND( OFFSET($A$1, 541 - 1, 52 - 1) = "1", OFFSET($A$1, 541 - 1, 53 - 1) = "1" ), 1, IF( AND( OFFSET($A$1, 541 - 1, 52 - 1) = "1", OFFSET($A$1, 541 - 1, 53 - 1) = "0" ), 2, IF( AND( OFFSET($A$1, 541 - 1, 52 - 1) = "0", OFFSET($A$1, 541 - 1, 53 - 1) = "1" ), 3, 4 ) ) )</f>
        <v>4</v>
      </c>
    </row>
    <row r="542" spans="51:54" x14ac:dyDescent="0.25">
      <c r="AY542" s="7">
        <v>0</v>
      </c>
      <c r="AZ542" s="7" t="str">
        <f>"0"</f>
        <v>0</v>
      </c>
      <c r="BA542" t="str">
        <f ca="1">IF((OFFSET($A$1, 542 - 1, 51 - 1)) &gt;= (OFFSET($A$1, 77 - 1, 7 - 1)), "1","0")</f>
        <v>0</v>
      </c>
      <c r="BB542">
        <f ca="1" xml:space="preserve"> IF( AND( OFFSET($A$1, 542 - 1, 52 - 1) = "1", OFFSET($A$1, 542 - 1, 53 - 1) = "1" ), 1, IF( AND( OFFSET($A$1, 542 - 1, 52 - 1) = "1", OFFSET($A$1, 542 - 1, 53 - 1) = "0" ), 2, IF( AND( OFFSET($A$1, 542 - 1, 52 - 1) = "0", OFFSET($A$1, 542 - 1, 53 - 1) = "1" ), 3, 4 ) ) )</f>
        <v>4</v>
      </c>
    </row>
    <row r="543" spans="51:54" x14ac:dyDescent="0.25">
      <c r="AY543" s="7">
        <v>0</v>
      </c>
      <c r="AZ543" s="7" t="str">
        <f>"0"</f>
        <v>0</v>
      </c>
      <c r="BA543" t="str">
        <f ca="1">IF((OFFSET($A$1, 543 - 1, 51 - 1)) &gt;= (OFFSET($A$1, 77 - 1, 7 - 1)), "1","0")</f>
        <v>0</v>
      </c>
      <c r="BB543">
        <f ca="1" xml:space="preserve"> IF( AND( OFFSET($A$1, 543 - 1, 52 - 1) = "1", OFFSET($A$1, 543 - 1, 53 - 1) = "1" ), 1, IF( AND( OFFSET($A$1, 543 - 1, 52 - 1) = "1", OFFSET($A$1, 543 - 1, 53 - 1) = "0" ), 2, IF( AND( OFFSET($A$1, 543 - 1, 52 - 1) = "0", OFFSET($A$1, 543 - 1, 53 - 1) = "1" ), 3, 4 ) ) )</f>
        <v>4</v>
      </c>
    </row>
    <row r="544" spans="51:54" x14ac:dyDescent="0.25">
      <c r="AY544" s="7">
        <v>1</v>
      </c>
      <c r="AZ544" s="7" t="str">
        <f>"1"</f>
        <v>1</v>
      </c>
      <c r="BA544" t="str">
        <f ca="1">IF((OFFSET($A$1, 544 - 1, 51 - 1)) &gt;= (OFFSET($A$1, 77 - 1, 7 - 1)), "1","0")</f>
        <v>1</v>
      </c>
      <c r="BB544">
        <f ca="1" xml:space="preserve"> IF( AND( OFFSET($A$1, 544 - 1, 52 - 1) = "1", OFFSET($A$1, 544 - 1, 53 - 1) = "1" ), 1, IF( AND( OFFSET($A$1, 544 - 1, 52 - 1) = "1", OFFSET($A$1, 544 - 1, 53 - 1) = "0" ), 2, IF( AND( OFFSET($A$1, 544 - 1, 52 - 1) = "0", OFFSET($A$1, 544 - 1, 53 - 1) = "1" ), 3, 4 ) ) )</f>
        <v>1</v>
      </c>
    </row>
    <row r="545" spans="51:54" x14ac:dyDescent="0.25">
      <c r="AY545" s="7">
        <v>0.41176470588235292</v>
      </c>
      <c r="AZ545" s="7" t="str">
        <f>"1"</f>
        <v>1</v>
      </c>
      <c r="BA545" t="str">
        <f ca="1">IF((OFFSET($A$1, 545 - 1, 51 - 1)) &gt;= (OFFSET($A$1, 77 - 1, 7 - 1)), "1","0")</f>
        <v>0</v>
      </c>
      <c r="BB545">
        <f ca="1" xml:space="preserve"> IF( AND( OFFSET($A$1, 545 - 1, 52 - 1) = "1", OFFSET($A$1, 545 - 1, 53 - 1) = "1" ), 1, IF( AND( OFFSET($A$1, 545 - 1, 52 - 1) = "1", OFFSET($A$1, 545 - 1, 53 - 1) = "0" ), 2, IF( AND( OFFSET($A$1, 545 - 1, 52 - 1) = "0", OFFSET($A$1, 545 - 1, 53 - 1) = "1" ), 3, 4 ) ) )</f>
        <v>2</v>
      </c>
    </row>
    <row r="546" spans="51:54" x14ac:dyDescent="0.25">
      <c r="AY546" s="7">
        <v>0.35294117647058826</v>
      </c>
      <c r="AZ546" s="7" t="str">
        <f>"0"</f>
        <v>0</v>
      </c>
      <c r="BA546" t="str">
        <f ca="1">IF((OFFSET($A$1, 546 - 1, 51 - 1)) &gt;= (OFFSET($A$1, 77 - 1, 7 - 1)), "1","0")</f>
        <v>0</v>
      </c>
      <c r="BB546">
        <f ca="1" xml:space="preserve"> IF( AND( OFFSET($A$1, 546 - 1, 52 - 1) = "1", OFFSET($A$1, 546 - 1, 53 - 1) = "1" ), 1, IF( AND( OFFSET($A$1, 546 - 1, 52 - 1) = "1", OFFSET($A$1, 546 - 1, 53 - 1) = "0" ), 2, IF( AND( OFFSET($A$1, 546 - 1, 52 - 1) = "0", OFFSET($A$1, 546 - 1, 53 - 1) = "1" ), 3, 4 ) ) )</f>
        <v>4</v>
      </c>
    </row>
    <row r="547" spans="51:54" x14ac:dyDescent="0.25">
      <c r="AY547" s="7">
        <v>5.8823529411764705E-2</v>
      </c>
      <c r="AZ547" s="7" t="str">
        <f>"0"</f>
        <v>0</v>
      </c>
      <c r="BA547" t="str">
        <f ca="1">IF((OFFSET($A$1, 547 - 1, 51 - 1)) &gt;= (OFFSET($A$1, 77 - 1, 7 - 1)), "1","0")</f>
        <v>0</v>
      </c>
      <c r="BB547">
        <f ca="1" xml:space="preserve"> IF( AND( OFFSET($A$1, 547 - 1, 52 - 1) = "1", OFFSET($A$1, 547 - 1, 53 - 1) = "1" ), 1, IF( AND( OFFSET($A$1, 547 - 1, 52 - 1) = "1", OFFSET($A$1, 547 - 1, 53 - 1) = "0" ), 2, IF( AND( OFFSET($A$1, 547 - 1, 52 - 1) = "0", OFFSET($A$1, 547 - 1, 53 - 1) = "1" ), 3, 4 ) ) )</f>
        <v>4</v>
      </c>
    </row>
    <row r="548" spans="51:54" x14ac:dyDescent="0.25">
      <c r="AY548" s="7">
        <v>0</v>
      </c>
      <c r="AZ548" s="7" t="str">
        <f>"0"</f>
        <v>0</v>
      </c>
      <c r="BA548" t="str">
        <f ca="1">IF((OFFSET($A$1, 548 - 1, 51 - 1)) &gt;= (OFFSET($A$1, 77 - 1, 7 - 1)), "1","0")</f>
        <v>0</v>
      </c>
      <c r="BB548">
        <f ca="1" xml:space="preserve"> IF( AND( OFFSET($A$1, 548 - 1, 52 - 1) = "1", OFFSET($A$1, 548 - 1, 53 - 1) = "1" ), 1, IF( AND( OFFSET($A$1, 548 - 1, 52 - 1) = "1", OFFSET($A$1, 548 - 1, 53 - 1) = "0" ), 2, IF( AND( OFFSET($A$1, 548 - 1, 52 - 1) = "0", OFFSET($A$1, 548 - 1, 53 - 1) = "1" ), 3, 4 ) ) )</f>
        <v>4</v>
      </c>
    </row>
    <row r="549" spans="51:54" x14ac:dyDescent="0.25">
      <c r="AY549" s="7">
        <v>1</v>
      </c>
      <c r="AZ549" s="7" t="str">
        <f>"1"</f>
        <v>1</v>
      </c>
      <c r="BA549" t="str">
        <f ca="1">IF((OFFSET($A$1, 549 - 1, 51 - 1)) &gt;= (OFFSET($A$1, 77 - 1, 7 - 1)), "1","0")</f>
        <v>1</v>
      </c>
      <c r="BB549">
        <f ca="1" xml:space="preserve"> IF( AND( OFFSET($A$1, 549 - 1, 52 - 1) = "1", OFFSET($A$1, 549 - 1, 53 - 1) = "1" ), 1, IF( AND( OFFSET($A$1, 549 - 1, 52 - 1) = "1", OFFSET($A$1, 549 - 1, 53 - 1) = "0" ), 2, IF( AND( OFFSET($A$1, 549 - 1, 52 - 1) = "0", OFFSET($A$1, 549 - 1, 53 - 1) = "1" ), 3, 4 ) ) )</f>
        <v>1</v>
      </c>
    </row>
    <row r="550" spans="51:54" x14ac:dyDescent="0.25">
      <c r="AY550" s="7">
        <v>0.94117647058823528</v>
      </c>
      <c r="AZ550" s="7" t="str">
        <f>"1"</f>
        <v>1</v>
      </c>
      <c r="BA550" t="str">
        <f ca="1">IF((OFFSET($A$1, 550 - 1, 51 - 1)) &gt;= (OFFSET($A$1, 77 - 1, 7 - 1)), "1","0")</f>
        <v>1</v>
      </c>
      <c r="BB550">
        <f ca="1" xml:space="preserve"> IF( AND( OFFSET($A$1, 550 - 1, 52 - 1) = "1", OFFSET($A$1, 550 - 1, 53 - 1) = "1" ), 1, IF( AND( OFFSET($A$1, 550 - 1, 52 - 1) = "1", OFFSET($A$1, 550 - 1, 53 - 1) = "0" ), 2, IF( AND( OFFSET($A$1, 550 - 1, 52 - 1) = "0", OFFSET($A$1, 550 - 1, 53 - 1) = "1" ), 3, 4 ) ) )</f>
        <v>1</v>
      </c>
    </row>
    <row r="551" spans="51:54" x14ac:dyDescent="0.25">
      <c r="AY551" s="7">
        <v>0.88235294117647056</v>
      </c>
      <c r="AZ551" s="7" t="str">
        <f>"1"</f>
        <v>1</v>
      </c>
      <c r="BA551" t="str">
        <f ca="1">IF((OFFSET($A$1, 551 - 1, 51 - 1)) &gt;= (OFFSET($A$1, 77 - 1, 7 - 1)), "1","0")</f>
        <v>1</v>
      </c>
      <c r="BB551">
        <f ca="1" xml:space="preserve"> IF( AND( OFFSET($A$1, 551 - 1, 52 - 1) = "1", OFFSET($A$1, 551 - 1, 53 - 1) = "1" ), 1, IF( AND( OFFSET($A$1, 551 - 1, 52 - 1) = "1", OFFSET($A$1, 551 - 1, 53 - 1) = "0" ), 2, IF( AND( OFFSET($A$1, 551 - 1, 52 - 1) = "0", OFFSET($A$1, 551 - 1, 53 - 1) = "1" ), 3, 4 ) ) )</f>
        <v>1</v>
      </c>
    </row>
    <row r="552" spans="51:54" x14ac:dyDescent="0.25">
      <c r="AY552" s="7">
        <v>5.8823529411764705E-2</v>
      </c>
      <c r="AZ552" s="7" t="str">
        <f>"0"</f>
        <v>0</v>
      </c>
      <c r="BA552" t="str">
        <f ca="1">IF((OFFSET($A$1, 552 - 1, 51 - 1)) &gt;= (OFFSET($A$1, 77 - 1, 7 - 1)), "1","0")</f>
        <v>0</v>
      </c>
      <c r="BB552">
        <f ca="1" xml:space="preserve"> IF( AND( OFFSET($A$1, 552 - 1, 52 - 1) = "1", OFFSET($A$1, 552 - 1, 53 - 1) = "1" ), 1, IF( AND( OFFSET($A$1, 552 - 1, 52 - 1) = "1", OFFSET($A$1, 552 - 1, 53 - 1) = "0" ), 2, IF( AND( OFFSET($A$1, 552 - 1, 52 - 1) = "0", OFFSET($A$1, 552 - 1, 53 - 1) = "1" ), 3, 4 ) ) )</f>
        <v>4</v>
      </c>
    </row>
    <row r="553" spans="51:54" x14ac:dyDescent="0.25">
      <c r="AY553" s="7">
        <v>0.70588235294117652</v>
      </c>
      <c r="AZ553" s="7" t="str">
        <f>"1"</f>
        <v>1</v>
      </c>
      <c r="BA553" t="str">
        <f ca="1">IF((OFFSET($A$1, 553 - 1, 51 - 1)) &gt;= (OFFSET($A$1, 77 - 1, 7 - 1)), "1","0")</f>
        <v>1</v>
      </c>
      <c r="BB553">
        <f ca="1" xml:space="preserve"> IF( AND( OFFSET($A$1, 553 - 1, 52 - 1) = "1", OFFSET($A$1, 553 - 1, 53 - 1) = "1" ), 1, IF( AND( OFFSET($A$1, 553 - 1, 52 - 1) = "1", OFFSET($A$1, 553 - 1, 53 - 1) = "0" ), 2, IF( AND( OFFSET($A$1, 553 - 1, 52 - 1) = "0", OFFSET($A$1, 553 - 1, 53 - 1) = "1" ), 3, 4 ) ) )</f>
        <v>1</v>
      </c>
    </row>
    <row r="554" spans="51:54" x14ac:dyDescent="0.25">
      <c r="AY554" s="7">
        <v>0</v>
      </c>
      <c r="AZ554" s="7" t="str">
        <f>"0"</f>
        <v>0</v>
      </c>
      <c r="BA554" t="str">
        <f ca="1">IF((OFFSET($A$1, 554 - 1, 51 - 1)) &gt;= (OFFSET($A$1, 77 - 1, 7 - 1)), "1","0")</f>
        <v>0</v>
      </c>
      <c r="BB554">
        <f ca="1" xml:space="preserve"> IF( AND( OFFSET($A$1, 554 - 1, 52 - 1) = "1", OFFSET($A$1, 554 - 1, 53 - 1) = "1" ), 1, IF( AND( OFFSET($A$1, 554 - 1, 52 - 1) = "1", OFFSET($A$1, 554 - 1, 53 - 1) = "0" ), 2, IF( AND( OFFSET($A$1, 554 - 1, 52 - 1) = "0", OFFSET($A$1, 554 - 1, 53 - 1) = "1" ), 3, 4 ) ) )</f>
        <v>4</v>
      </c>
    </row>
    <row r="555" spans="51:54" x14ac:dyDescent="0.25">
      <c r="AY555" s="7">
        <v>0</v>
      </c>
      <c r="AZ555" s="7" t="str">
        <f>"0"</f>
        <v>0</v>
      </c>
      <c r="BA555" t="str">
        <f ca="1">IF((OFFSET($A$1, 555 - 1, 51 - 1)) &gt;= (OFFSET($A$1, 77 - 1, 7 - 1)), "1","0")</f>
        <v>0</v>
      </c>
      <c r="BB555">
        <f ca="1" xml:space="preserve"> IF( AND( OFFSET($A$1, 555 - 1, 52 - 1) = "1", OFFSET($A$1, 555 - 1, 53 - 1) = "1" ), 1, IF( AND( OFFSET($A$1, 555 - 1, 52 - 1) = "1", OFFSET($A$1, 555 - 1, 53 - 1) = "0" ), 2, IF( AND( OFFSET($A$1, 555 - 1, 52 - 1) = "0", OFFSET($A$1, 555 - 1, 53 - 1) = "1" ), 3, 4 ) ) )</f>
        <v>4</v>
      </c>
    </row>
    <row r="556" spans="51:54" x14ac:dyDescent="0.25">
      <c r="AY556" s="7">
        <v>0</v>
      </c>
      <c r="AZ556" s="7" t="str">
        <f>"0"</f>
        <v>0</v>
      </c>
      <c r="BA556" t="str">
        <f ca="1">IF((OFFSET($A$1, 556 - 1, 51 - 1)) &gt;= (OFFSET($A$1, 77 - 1, 7 - 1)), "1","0")</f>
        <v>0</v>
      </c>
      <c r="BB556">
        <f ca="1" xml:space="preserve"> IF( AND( OFFSET($A$1, 556 - 1, 52 - 1) = "1", OFFSET($A$1, 556 - 1, 53 - 1) = "1" ), 1, IF( AND( OFFSET($A$1, 556 - 1, 52 - 1) = "1", OFFSET($A$1, 556 - 1, 53 - 1) = "0" ), 2, IF( AND( OFFSET($A$1, 556 - 1, 52 - 1) = "0", OFFSET($A$1, 556 - 1, 53 - 1) = "1" ), 3, 4 ) ) )</f>
        <v>4</v>
      </c>
    </row>
    <row r="557" spans="51:54" x14ac:dyDescent="0.25">
      <c r="AY557" s="7">
        <v>0</v>
      </c>
      <c r="AZ557" s="7" t="str">
        <f>"0"</f>
        <v>0</v>
      </c>
      <c r="BA557" t="str">
        <f ca="1">IF((OFFSET($A$1, 557 - 1, 51 - 1)) &gt;= (OFFSET($A$1, 77 - 1, 7 - 1)), "1","0")</f>
        <v>0</v>
      </c>
      <c r="BB557">
        <f ca="1" xml:space="preserve"> IF( AND( OFFSET($A$1, 557 - 1, 52 - 1) = "1", OFFSET($A$1, 557 - 1, 53 - 1) = "1" ), 1, IF( AND( OFFSET($A$1, 557 - 1, 52 - 1) = "1", OFFSET($A$1, 557 - 1, 53 - 1) = "0" ), 2, IF( AND( OFFSET($A$1, 557 - 1, 52 - 1) = "0", OFFSET($A$1, 557 - 1, 53 - 1) = "1" ), 3, 4 ) ) )</f>
        <v>4</v>
      </c>
    </row>
    <row r="558" spans="51:54" x14ac:dyDescent="0.25">
      <c r="AY558" s="7">
        <v>0</v>
      </c>
      <c r="AZ558" s="7" t="str">
        <f>"0"</f>
        <v>0</v>
      </c>
      <c r="BA558" t="str">
        <f ca="1">IF((OFFSET($A$1, 558 - 1, 51 - 1)) &gt;= (OFFSET($A$1, 77 - 1, 7 - 1)), "1","0")</f>
        <v>0</v>
      </c>
      <c r="BB558">
        <f ca="1" xml:space="preserve"> IF( AND( OFFSET($A$1, 558 - 1, 52 - 1) = "1", OFFSET($A$1, 558 - 1, 53 - 1) = "1" ), 1, IF( AND( OFFSET($A$1, 558 - 1, 52 - 1) = "1", OFFSET($A$1, 558 - 1, 53 - 1) = "0" ), 2, IF( AND( OFFSET($A$1, 558 - 1, 52 - 1) = "0", OFFSET($A$1, 558 - 1, 53 - 1) = "1" ), 3, 4 ) ) )</f>
        <v>4</v>
      </c>
    </row>
    <row r="559" spans="51:54" x14ac:dyDescent="0.25">
      <c r="AY559" s="7">
        <v>0.17647058823529413</v>
      </c>
      <c r="AZ559" s="7" t="str">
        <f>"0"</f>
        <v>0</v>
      </c>
      <c r="BA559" t="str">
        <f ca="1">IF((OFFSET($A$1, 559 - 1, 51 - 1)) &gt;= (OFFSET($A$1, 77 - 1, 7 - 1)), "1","0")</f>
        <v>0</v>
      </c>
      <c r="BB559">
        <f ca="1" xml:space="preserve"> IF( AND( OFFSET($A$1, 559 - 1, 52 - 1) = "1", OFFSET($A$1, 559 - 1, 53 - 1) = "1" ), 1, IF( AND( OFFSET($A$1, 559 - 1, 52 - 1) = "1", OFFSET($A$1, 559 - 1, 53 - 1) = "0" ), 2, IF( AND( OFFSET($A$1, 559 - 1, 52 - 1) = "0", OFFSET($A$1, 559 - 1, 53 - 1) = "1" ), 3, 4 ) ) )</f>
        <v>4</v>
      </c>
    </row>
    <row r="560" spans="51:54" x14ac:dyDescent="0.25">
      <c r="AY560" s="7">
        <v>0.23529411764705882</v>
      </c>
      <c r="AZ560" s="7" t="str">
        <f>"0"</f>
        <v>0</v>
      </c>
      <c r="BA560" t="str">
        <f ca="1">IF((OFFSET($A$1, 560 - 1, 51 - 1)) &gt;= (OFFSET($A$1, 77 - 1, 7 - 1)), "1","0")</f>
        <v>0</v>
      </c>
      <c r="BB560">
        <f ca="1" xml:space="preserve"> IF( AND( OFFSET($A$1, 560 - 1, 52 - 1) = "1", OFFSET($A$1, 560 - 1, 53 - 1) = "1" ), 1, IF( AND( OFFSET($A$1, 560 - 1, 52 - 1) = "1", OFFSET($A$1, 560 - 1, 53 - 1) = "0" ), 2, IF( AND( OFFSET($A$1, 560 - 1, 52 - 1) = "0", OFFSET($A$1, 560 - 1, 53 - 1) = "1" ), 3, 4 ) ) )</f>
        <v>4</v>
      </c>
    </row>
    <row r="561" spans="51:54" x14ac:dyDescent="0.25">
      <c r="AY561" s="7">
        <v>0.82352941176470584</v>
      </c>
      <c r="AZ561" s="7" t="str">
        <f>"1"</f>
        <v>1</v>
      </c>
      <c r="BA561" t="str">
        <f ca="1">IF((OFFSET($A$1, 561 - 1, 51 - 1)) &gt;= (OFFSET($A$1, 77 - 1, 7 - 1)), "1","0")</f>
        <v>1</v>
      </c>
      <c r="BB561">
        <f ca="1" xml:space="preserve"> IF( AND( OFFSET($A$1, 561 - 1, 52 - 1) = "1", OFFSET($A$1, 561 - 1, 53 - 1) = "1" ), 1, IF( AND( OFFSET($A$1, 561 - 1, 52 - 1) = "1", OFFSET($A$1, 561 - 1, 53 - 1) = "0" ), 2, IF( AND( OFFSET($A$1, 561 - 1, 52 - 1) = "0", OFFSET($A$1, 561 - 1, 53 - 1) = "1" ), 3, 4 ) ) )</f>
        <v>1</v>
      </c>
    </row>
    <row r="562" spans="51:54" x14ac:dyDescent="0.25">
      <c r="AY562" s="7">
        <v>0</v>
      </c>
      <c r="AZ562" s="7" t="str">
        <f>"0"</f>
        <v>0</v>
      </c>
      <c r="BA562" t="str">
        <f ca="1">IF((OFFSET($A$1, 562 - 1, 51 - 1)) &gt;= (OFFSET($A$1, 77 - 1, 7 - 1)), "1","0")</f>
        <v>0</v>
      </c>
      <c r="BB562">
        <f ca="1" xml:space="preserve"> IF( AND( OFFSET($A$1, 562 - 1, 52 - 1) = "1", OFFSET($A$1, 562 - 1, 53 - 1) = "1" ), 1, IF( AND( OFFSET($A$1, 562 - 1, 52 - 1) = "1", OFFSET($A$1, 562 - 1, 53 - 1) = "0" ), 2, IF( AND( OFFSET($A$1, 562 - 1, 52 - 1) = "0", OFFSET($A$1, 562 - 1, 53 - 1) = "1" ), 3, 4 ) ) )</f>
        <v>4</v>
      </c>
    </row>
    <row r="563" spans="51:54" x14ac:dyDescent="0.25">
      <c r="AY563" s="7">
        <v>0</v>
      </c>
      <c r="AZ563" s="7" t="str">
        <f>"0"</f>
        <v>0</v>
      </c>
      <c r="BA563" t="str">
        <f ca="1">IF((OFFSET($A$1, 563 - 1, 51 - 1)) &gt;= (OFFSET($A$1, 77 - 1, 7 - 1)), "1","0")</f>
        <v>0</v>
      </c>
      <c r="BB563">
        <f ca="1" xml:space="preserve"> IF( AND( OFFSET($A$1, 563 - 1, 52 - 1) = "1", OFFSET($A$1, 563 - 1, 53 - 1) = "1" ), 1, IF( AND( OFFSET($A$1, 563 - 1, 52 - 1) = "1", OFFSET($A$1, 563 - 1, 53 - 1) = "0" ), 2, IF( AND( OFFSET($A$1, 563 - 1, 52 - 1) = "0", OFFSET($A$1, 563 - 1, 53 - 1) = "1" ), 3, 4 ) ) )</f>
        <v>4</v>
      </c>
    </row>
    <row r="564" spans="51:54" x14ac:dyDescent="0.25">
      <c r="AY564" s="7">
        <v>5.8823529411764705E-2</v>
      </c>
      <c r="AZ564" s="7" t="str">
        <f>"0"</f>
        <v>0</v>
      </c>
      <c r="BA564" t="str">
        <f ca="1">IF((OFFSET($A$1, 564 - 1, 51 - 1)) &gt;= (OFFSET($A$1, 77 - 1, 7 - 1)), "1","0")</f>
        <v>0</v>
      </c>
      <c r="BB564">
        <f ca="1" xml:space="preserve"> IF( AND( OFFSET($A$1, 564 - 1, 52 - 1) = "1", OFFSET($A$1, 564 - 1, 53 - 1) = "1" ), 1, IF( AND( OFFSET($A$1, 564 - 1, 52 - 1) = "1", OFFSET($A$1, 564 - 1, 53 - 1) = "0" ), 2, IF( AND( OFFSET($A$1, 564 - 1, 52 - 1) = "0", OFFSET($A$1, 564 - 1, 53 - 1) = "1" ), 3, 4 ) ) )</f>
        <v>4</v>
      </c>
    </row>
    <row r="565" spans="51:54" x14ac:dyDescent="0.25">
      <c r="AY565" s="7">
        <v>0</v>
      </c>
      <c r="AZ565" s="7" t="str">
        <f>"0"</f>
        <v>0</v>
      </c>
      <c r="BA565" t="str">
        <f ca="1">IF((OFFSET($A$1, 565 - 1, 51 - 1)) &gt;= (OFFSET($A$1, 77 - 1, 7 - 1)), "1","0")</f>
        <v>0</v>
      </c>
      <c r="BB565">
        <f ca="1" xml:space="preserve"> IF( AND( OFFSET($A$1, 565 - 1, 52 - 1) = "1", OFFSET($A$1, 565 - 1, 53 - 1) = "1" ), 1, IF( AND( OFFSET($A$1, 565 - 1, 52 - 1) = "1", OFFSET($A$1, 565 - 1, 53 - 1) = "0" ), 2, IF( AND( OFFSET($A$1, 565 - 1, 52 - 1) = "0", OFFSET($A$1, 565 - 1, 53 - 1) = "1" ), 3, 4 ) ) )</f>
        <v>4</v>
      </c>
    </row>
    <row r="566" spans="51:54" x14ac:dyDescent="0.25">
      <c r="AY566" s="7">
        <v>0.88235294117647056</v>
      </c>
      <c r="AZ566" s="7" t="str">
        <f>"1"</f>
        <v>1</v>
      </c>
      <c r="BA566" t="str">
        <f ca="1">IF((OFFSET($A$1, 566 - 1, 51 - 1)) &gt;= (OFFSET($A$1, 77 - 1, 7 - 1)), "1","0")</f>
        <v>1</v>
      </c>
      <c r="BB566">
        <f ca="1" xml:space="preserve"> IF( AND( OFFSET($A$1, 566 - 1, 52 - 1) = "1", OFFSET($A$1, 566 - 1, 53 - 1) = "1" ), 1, IF( AND( OFFSET($A$1, 566 - 1, 52 - 1) = "1", OFFSET($A$1, 566 - 1, 53 - 1) = "0" ), 2, IF( AND( OFFSET($A$1, 566 - 1, 52 - 1) = "0", OFFSET($A$1, 566 - 1, 53 - 1) = "1" ), 3, 4 ) ) )</f>
        <v>1</v>
      </c>
    </row>
    <row r="567" spans="51:54" x14ac:dyDescent="0.25">
      <c r="AY567" s="7">
        <v>0.70588235294117652</v>
      </c>
      <c r="AZ567" s="7" t="str">
        <f>"1"</f>
        <v>1</v>
      </c>
      <c r="BA567" t="str">
        <f ca="1">IF((OFFSET($A$1, 567 - 1, 51 - 1)) &gt;= (OFFSET($A$1, 77 - 1, 7 - 1)), "1","0")</f>
        <v>1</v>
      </c>
      <c r="BB567">
        <f ca="1" xml:space="preserve"> IF( AND( OFFSET($A$1, 567 - 1, 52 - 1) = "1", OFFSET($A$1, 567 - 1, 53 - 1) = "1" ), 1, IF( AND( OFFSET($A$1, 567 - 1, 52 - 1) = "1", OFFSET($A$1, 567 - 1, 53 - 1) = "0" ), 2, IF( AND( OFFSET($A$1, 567 - 1, 52 - 1) = "0", OFFSET($A$1, 567 - 1, 53 - 1) = "1" ), 3, 4 ) ) )</f>
        <v>1</v>
      </c>
    </row>
    <row r="568" spans="51:54" x14ac:dyDescent="0.25">
      <c r="AY568" s="7">
        <v>0</v>
      </c>
      <c r="AZ568" s="7" t="str">
        <f>"0"</f>
        <v>0</v>
      </c>
      <c r="BA568" t="str">
        <f ca="1">IF((OFFSET($A$1, 568 - 1, 51 - 1)) &gt;= (OFFSET($A$1, 77 - 1, 7 - 1)), "1","0")</f>
        <v>0</v>
      </c>
      <c r="BB568">
        <f ca="1" xml:space="preserve"> IF( AND( OFFSET($A$1, 568 - 1, 52 - 1) = "1", OFFSET($A$1, 568 - 1, 53 - 1) = "1" ), 1, IF( AND( OFFSET($A$1, 568 - 1, 52 - 1) = "1", OFFSET($A$1, 568 - 1, 53 - 1) = "0" ), 2, IF( AND( OFFSET($A$1, 568 - 1, 52 - 1) = "0", OFFSET($A$1, 568 - 1, 53 - 1) = "1" ), 3, 4 ) ) )</f>
        <v>4</v>
      </c>
    </row>
    <row r="569" spans="51:54" x14ac:dyDescent="0.25">
      <c r="AY569" s="7">
        <v>0</v>
      </c>
      <c r="AZ569" s="7" t="str">
        <f>"0"</f>
        <v>0</v>
      </c>
      <c r="BA569" t="str">
        <f ca="1">IF((OFFSET($A$1, 569 - 1, 51 - 1)) &gt;= (OFFSET($A$1, 77 - 1, 7 - 1)), "1","0")</f>
        <v>0</v>
      </c>
      <c r="BB569">
        <f ca="1" xml:space="preserve"> IF( AND( OFFSET($A$1, 569 - 1, 52 - 1) = "1", OFFSET($A$1, 569 - 1, 53 - 1) = "1" ), 1, IF( AND( OFFSET($A$1, 569 - 1, 52 - 1) = "1", OFFSET($A$1, 569 - 1, 53 - 1) = "0" ), 2, IF( AND( OFFSET($A$1, 569 - 1, 52 - 1) = "0", OFFSET($A$1, 569 - 1, 53 - 1) = "1" ), 3, 4 ) ) )</f>
        <v>4</v>
      </c>
    </row>
    <row r="570" spans="51:54" x14ac:dyDescent="0.25">
      <c r="AY570" s="7">
        <v>1</v>
      </c>
      <c r="AZ570" s="7" t="str">
        <f>"1"</f>
        <v>1</v>
      </c>
      <c r="BA570" t="str">
        <f ca="1">IF((OFFSET($A$1, 570 - 1, 51 - 1)) &gt;= (OFFSET($A$1, 77 - 1, 7 - 1)), "1","0")</f>
        <v>1</v>
      </c>
      <c r="BB570">
        <f ca="1" xml:space="preserve"> IF( AND( OFFSET($A$1, 570 - 1, 52 - 1) = "1", OFFSET($A$1, 570 - 1, 53 - 1) = "1" ), 1, IF( AND( OFFSET($A$1, 570 - 1, 52 - 1) = "1", OFFSET($A$1, 570 - 1, 53 - 1) = "0" ), 2, IF( AND( OFFSET($A$1, 570 - 1, 52 - 1) = "0", OFFSET($A$1, 570 - 1, 53 - 1) = "1" ), 3, 4 ) ) )</f>
        <v>1</v>
      </c>
    </row>
    <row r="571" spans="51:54" x14ac:dyDescent="0.25">
      <c r="AY571" s="7">
        <v>0</v>
      </c>
      <c r="AZ571" s="7" t="str">
        <f>"0"</f>
        <v>0</v>
      </c>
      <c r="BA571" t="str">
        <f ca="1">IF((OFFSET($A$1, 571 - 1, 51 - 1)) &gt;= (OFFSET($A$1, 77 - 1, 7 - 1)), "1","0")</f>
        <v>0</v>
      </c>
      <c r="BB571">
        <f ca="1" xml:space="preserve"> IF( AND( OFFSET($A$1, 571 - 1, 52 - 1) = "1", OFFSET($A$1, 571 - 1, 53 - 1) = "1" ), 1, IF( AND( OFFSET($A$1, 571 - 1, 52 - 1) = "1", OFFSET($A$1, 571 - 1, 53 - 1) = "0" ), 2, IF( AND( OFFSET($A$1, 571 - 1, 52 - 1) = "0", OFFSET($A$1, 571 - 1, 53 - 1) = "1" ), 3, 4 ) ) )</f>
        <v>4</v>
      </c>
    </row>
    <row r="572" spans="51:54" x14ac:dyDescent="0.25">
      <c r="AY572" s="7">
        <v>0</v>
      </c>
      <c r="AZ572" s="7" t="str">
        <f>"0"</f>
        <v>0</v>
      </c>
      <c r="BA572" t="str">
        <f ca="1">IF((OFFSET($A$1, 572 - 1, 51 - 1)) &gt;= (OFFSET($A$1, 77 - 1, 7 - 1)), "1","0")</f>
        <v>0</v>
      </c>
      <c r="BB572">
        <f ca="1" xml:space="preserve"> IF( AND( OFFSET($A$1, 572 - 1, 52 - 1) = "1", OFFSET($A$1, 572 - 1, 53 - 1) = "1" ), 1, IF( AND( OFFSET($A$1, 572 - 1, 52 - 1) = "1", OFFSET($A$1, 572 - 1, 53 - 1) = "0" ), 2, IF( AND( OFFSET($A$1, 572 - 1, 52 - 1) = "0", OFFSET($A$1, 572 - 1, 53 - 1) = "1" ), 3, 4 ) ) )</f>
        <v>4</v>
      </c>
    </row>
    <row r="573" spans="51:54" x14ac:dyDescent="0.25">
      <c r="AY573" s="7">
        <v>0</v>
      </c>
      <c r="AZ573" s="7" t="str">
        <f>"0"</f>
        <v>0</v>
      </c>
      <c r="BA573" t="str">
        <f ca="1">IF((OFFSET($A$1, 573 - 1, 51 - 1)) &gt;= (OFFSET($A$1, 77 - 1, 7 - 1)), "1","0")</f>
        <v>0</v>
      </c>
      <c r="BB573">
        <f ca="1" xml:space="preserve"> IF( AND( OFFSET($A$1, 573 - 1, 52 - 1) = "1", OFFSET($A$1, 573 - 1, 53 - 1) = "1" ), 1, IF( AND( OFFSET($A$1, 573 - 1, 52 - 1) = "1", OFFSET($A$1, 573 - 1, 53 - 1) = "0" ), 2, IF( AND( OFFSET($A$1, 573 - 1, 52 - 1) = "0", OFFSET($A$1, 573 - 1, 53 - 1) = "1" ), 3, 4 ) ) )</f>
        <v>4</v>
      </c>
    </row>
    <row r="574" spans="51:54" x14ac:dyDescent="0.25">
      <c r="AY574" s="7">
        <v>0</v>
      </c>
      <c r="AZ574" s="7" t="str">
        <f>"0"</f>
        <v>0</v>
      </c>
      <c r="BA574" t="str">
        <f ca="1">IF((OFFSET($A$1, 574 - 1, 51 - 1)) &gt;= (OFFSET($A$1, 77 - 1, 7 - 1)), "1","0")</f>
        <v>0</v>
      </c>
      <c r="BB574">
        <f ca="1" xml:space="preserve"> IF( AND( OFFSET($A$1, 574 - 1, 52 - 1) = "1", OFFSET($A$1, 574 - 1, 53 - 1) = "1" ), 1, IF( AND( OFFSET($A$1, 574 - 1, 52 - 1) = "1", OFFSET($A$1, 574 - 1, 53 - 1) = "0" ), 2, IF( AND( OFFSET($A$1, 574 - 1, 52 - 1) = "0", OFFSET($A$1, 574 - 1, 53 - 1) = "1" ), 3, 4 ) ) )</f>
        <v>4</v>
      </c>
    </row>
    <row r="575" spans="51:54" x14ac:dyDescent="0.25">
      <c r="AY575" s="7">
        <v>0</v>
      </c>
      <c r="AZ575" s="7" t="str">
        <f>"0"</f>
        <v>0</v>
      </c>
      <c r="BA575" t="str">
        <f ca="1">IF((OFFSET($A$1, 575 - 1, 51 - 1)) &gt;= (OFFSET($A$1, 77 - 1, 7 - 1)), "1","0")</f>
        <v>0</v>
      </c>
      <c r="BB575">
        <f ca="1" xml:space="preserve"> IF( AND( OFFSET($A$1, 575 - 1, 52 - 1) = "1", OFFSET($A$1, 575 - 1, 53 - 1) = "1" ), 1, IF( AND( OFFSET($A$1, 575 - 1, 52 - 1) = "1", OFFSET($A$1, 575 - 1, 53 - 1) = "0" ), 2, IF( AND( OFFSET($A$1, 575 - 1, 52 - 1) = "0", OFFSET($A$1, 575 - 1, 53 - 1) = "1" ), 3, 4 ) ) )</f>
        <v>4</v>
      </c>
    </row>
    <row r="576" spans="51:54" x14ac:dyDescent="0.25">
      <c r="AY576" s="7">
        <v>0.58823529411764708</v>
      </c>
      <c r="AZ576" s="7" t="str">
        <f>"1"</f>
        <v>1</v>
      </c>
      <c r="BA576" t="str">
        <f ca="1">IF((OFFSET($A$1, 576 - 1, 51 - 1)) &gt;= (OFFSET($A$1, 77 - 1, 7 - 1)), "1","0")</f>
        <v>1</v>
      </c>
      <c r="BB576">
        <f ca="1" xml:space="preserve"> IF( AND( OFFSET($A$1, 576 - 1, 52 - 1) = "1", OFFSET($A$1, 576 - 1, 53 - 1) = "1" ), 1, IF( AND( OFFSET($A$1, 576 - 1, 52 - 1) = "1", OFFSET($A$1, 576 - 1, 53 - 1) = "0" ), 2, IF( AND( OFFSET($A$1, 576 - 1, 52 - 1) = "0", OFFSET($A$1, 576 - 1, 53 - 1) = "1" ), 3, 4 ) ) )</f>
        <v>1</v>
      </c>
    </row>
    <row r="577" spans="51:54" x14ac:dyDescent="0.25">
      <c r="AY577" s="7">
        <v>1</v>
      </c>
      <c r="AZ577" s="7" t="str">
        <f>"1"</f>
        <v>1</v>
      </c>
      <c r="BA577" t="str">
        <f ca="1">IF((OFFSET($A$1, 577 - 1, 51 - 1)) &gt;= (OFFSET($A$1, 77 - 1, 7 - 1)), "1","0")</f>
        <v>1</v>
      </c>
      <c r="BB577">
        <f ca="1" xml:space="preserve"> IF( AND( OFFSET($A$1, 577 - 1, 52 - 1) = "1", OFFSET($A$1, 577 - 1, 53 - 1) = "1" ), 1, IF( AND( OFFSET($A$1, 577 - 1, 52 - 1) = "1", OFFSET($A$1, 577 - 1, 53 - 1) = "0" ), 2, IF( AND( OFFSET($A$1, 577 - 1, 52 - 1) = "0", OFFSET($A$1, 577 - 1, 53 - 1) = "1" ), 3, 4 ) ) )</f>
        <v>1</v>
      </c>
    </row>
    <row r="578" spans="51:54" x14ac:dyDescent="0.25">
      <c r="AY578" s="7">
        <v>0.47058823529411764</v>
      </c>
      <c r="AZ578" s="7" t="str">
        <f>"0"</f>
        <v>0</v>
      </c>
      <c r="BA578" t="str">
        <f ca="1">IF((OFFSET($A$1, 578 - 1, 51 - 1)) &gt;= (OFFSET($A$1, 77 - 1, 7 - 1)), "1","0")</f>
        <v>0</v>
      </c>
      <c r="BB578">
        <f ca="1" xml:space="preserve"> IF( AND( OFFSET($A$1, 578 - 1, 52 - 1) = "1", OFFSET($A$1, 578 - 1, 53 - 1) = "1" ), 1, IF( AND( OFFSET($A$1, 578 - 1, 52 - 1) = "1", OFFSET($A$1, 578 - 1, 53 - 1) = "0" ), 2, IF( AND( OFFSET($A$1, 578 - 1, 52 - 1) = "0", OFFSET($A$1, 578 - 1, 53 - 1) = "1" ), 3, 4 ) ) )</f>
        <v>4</v>
      </c>
    </row>
    <row r="579" spans="51:54" x14ac:dyDescent="0.25">
      <c r="AY579" s="7">
        <v>5.8823529411764705E-2</v>
      </c>
      <c r="AZ579" s="7" t="str">
        <f>"0"</f>
        <v>0</v>
      </c>
      <c r="BA579" t="str">
        <f ca="1">IF((OFFSET($A$1, 579 - 1, 51 - 1)) &gt;= (OFFSET($A$1, 77 - 1, 7 - 1)), "1","0")</f>
        <v>0</v>
      </c>
      <c r="BB579">
        <f ca="1" xml:space="preserve"> IF( AND( OFFSET($A$1, 579 - 1, 52 - 1) = "1", OFFSET($A$1, 579 - 1, 53 - 1) = "1" ), 1, IF( AND( OFFSET($A$1, 579 - 1, 52 - 1) = "1", OFFSET($A$1, 579 - 1, 53 - 1) = "0" ), 2, IF( AND( OFFSET($A$1, 579 - 1, 52 - 1) = "0", OFFSET($A$1, 579 - 1, 53 - 1) = "1" ), 3, 4 ) ) )</f>
        <v>4</v>
      </c>
    </row>
    <row r="580" spans="51:54" x14ac:dyDescent="0.25">
      <c r="AY580" s="7">
        <v>0.82352941176470584</v>
      </c>
      <c r="AZ580" s="7" t="str">
        <f>"0"</f>
        <v>0</v>
      </c>
      <c r="BA580" t="str">
        <f ca="1">IF((OFFSET($A$1, 580 - 1, 51 - 1)) &gt;= (OFFSET($A$1, 77 - 1, 7 - 1)), "1","0")</f>
        <v>1</v>
      </c>
      <c r="BB580">
        <f ca="1" xml:space="preserve"> IF( AND( OFFSET($A$1, 580 - 1, 52 - 1) = "1", OFFSET($A$1, 580 - 1, 53 - 1) = "1" ), 1, IF( AND( OFFSET($A$1, 580 - 1, 52 - 1) = "1", OFFSET($A$1, 580 - 1, 53 - 1) = "0" ), 2, IF( AND( OFFSET($A$1, 580 - 1, 52 - 1) = "0", OFFSET($A$1, 580 - 1, 53 - 1) = "1" ), 3, 4 ) ) )</f>
        <v>3</v>
      </c>
    </row>
    <row r="581" spans="51:54" x14ac:dyDescent="0.25">
      <c r="AY581" s="7">
        <v>0</v>
      </c>
      <c r="AZ581" s="7" t="str">
        <f>"0"</f>
        <v>0</v>
      </c>
      <c r="BA581" t="str">
        <f ca="1">IF((OFFSET($A$1, 581 - 1, 51 - 1)) &gt;= (OFFSET($A$1, 77 - 1, 7 - 1)), "1","0")</f>
        <v>0</v>
      </c>
      <c r="BB581">
        <f ca="1" xml:space="preserve"> IF( AND( OFFSET($A$1, 581 - 1, 52 - 1) = "1", OFFSET($A$1, 581 - 1, 53 - 1) = "1" ), 1, IF( AND( OFFSET($A$1, 581 - 1, 52 - 1) = "1", OFFSET($A$1, 581 - 1, 53 - 1) = "0" ), 2, IF( AND( OFFSET($A$1, 581 - 1, 52 - 1) = "0", OFFSET($A$1, 581 - 1, 53 - 1) = "1" ), 3, 4 ) ) )</f>
        <v>4</v>
      </c>
    </row>
    <row r="582" spans="51:54" x14ac:dyDescent="0.25">
      <c r="AY582" s="7">
        <v>0.41176470588235292</v>
      </c>
      <c r="AZ582" s="7" t="str">
        <f>"0"</f>
        <v>0</v>
      </c>
      <c r="BA582" t="str">
        <f ca="1">IF((OFFSET($A$1, 582 - 1, 51 - 1)) &gt;= (OFFSET($A$1, 77 - 1, 7 - 1)), "1","0")</f>
        <v>0</v>
      </c>
      <c r="BB582">
        <f ca="1" xml:space="preserve"> IF( AND( OFFSET($A$1, 582 - 1, 52 - 1) = "1", OFFSET($A$1, 582 - 1, 53 - 1) = "1" ), 1, IF( AND( OFFSET($A$1, 582 - 1, 52 - 1) = "1", OFFSET($A$1, 582 - 1, 53 - 1) = "0" ), 2, IF( AND( OFFSET($A$1, 582 - 1, 52 - 1) = "0", OFFSET($A$1, 582 - 1, 53 - 1) = "1" ), 3, 4 ) ) )</f>
        <v>4</v>
      </c>
    </row>
    <row r="583" spans="51:54" x14ac:dyDescent="0.25">
      <c r="AY583" s="7">
        <v>0</v>
      </c>
      <c r="AZ583" s="7" t="str">
        <f>"0"</f>
        <v>0</v>
      </c>
      <c r="BA583" t="str">
        <f ca="1">IF((OFFSET($A$1, 583 - 1, 51 - 1)) &gt;= (OFFSET($A$1, 77 - 1, 7 - 1)), "1","0")</f>
        <v>0</v>
      </c>
      <c r="BB583">
        <f ca="1" xml:space="preserve"> IF( AND( OFFSET($A$1, 583 - 1, 52 - 1) = "1", OFFSET($A$1, 583 - 1, 53 - 1) = "1" ), 1, IF( AND( OFFSET($A$1, 583 - 1, 52 - 1) = "1", OFFSET($A$1, 583 - 1, 53 - 1) = "0" ), 2, IF( AND( OFFSET($A$1, 583 - 1, 52 - 1) = "0", OFFSET($A$1, 583 - 1, 53 - 1) = "1" ), 3, 4 ) ) )</f>
        <v>4</v>
      </c>
    </row>
    <row r="584" spans="51:54" x14ac:dyDescent="0.25">
      <c r="AY584" s="7">
        <v>0</v>
      </c>
      <c r="AZ584" s="7" t="str">
        <f>"0"</f>
        <v>0</v>
      </c>
      <c r="BA584" t="str">
        <f ca="1">IF((OFFSET($A$1, 584 - 1, 51 - 1)) &gt;= (OFFSET($A$1, 77 - 1, 7 - 1)), "1","0")</f>
        <v>0</v>
      </c>
      <c r="BB584">
        <f ca="1" xml:space="preserve"> IF( AND( OFFSET($A$1, 584 - 1, 52 - 1) = "1", OFFSET($A$1, 584 - 1, 53 - 1) = "1" ), 1, IF( AND( OFFSET($A$1, 584 - 1, 52 - 1) = "1", OFFSET($A$1, 584 - 1, 53 - 1) = "0" ), 2, IF( AND( OFFSET($A$1, 584 - 1, 52 - 1) = "0", OFFSET($A$1, 584 - 1, 53 - 1) = "1" ), 3, 4 ) ) )</f>
        <v>4</v>
      </c>
    </row>
    <row r="585" spans="51:54" x14ac:dyDescent="0.25">
      <c r="AY585" s="7">
        <v>0.82352941176470584</v>
      </c>
      <c r="AZ585" s="7" t="str">
        <f>"1"</f>
        <v>1</v>
      </c>
      <c r="BA585" t="str">
        <f ca="1">IF((OFFSET($A$1, 585 - 1, 51 - 1)) &gt;= (OFFSET($A$1, 77 - 1, 7 - 1)), "1","0")</f>
        <v>1</v>
      </c>
      <c r="BB585">
        <f ca="1" xml:space="preserve"> IF( AND( OFFSET($A$1, 585 - 1, 52 - 1) = "1", OFFSET($A$1, 585 - 1, 53 - 1) = "1" ), 1, IF( AND( OFFSET($A$1, 585 - 1, 52 - 1) = "1", OFFSET($A$1, 585 - 1, 53 - 1) = "0" ), 2, IF( AND( OFFSET($A$1, 585 - 1, 52 - 1) = "0", OFFSET($A$1, 585 - 1, 53 - 1) = "1" ), 3, 4 ) ) )</f>
        <v>1</v>
      </c>
    </row>
    <row r="586" spans="51:54" x14ac:dyDescent="0.25">
      <c r="AY586" s="7">
        <v>0</v>
      </c>
      <c r="AZ586" s="7" t="str">
        <f>"0"</f>
        <v>0</v>
      </c>
      <c r="BA586" t="str">
        <f ca="1">IF((OFFSET($A$1, 586 - 1, 51 - 1)) &gt;= (OFFSET($A$1, 77 - 1, 7 - 1)), "1","0")</f>
        <v>0</v>
      </c>
      <c r="BB586">
        <f ca="1" xml:space="preserve"> IF( AND( OFFSET($A$1, 586 - 1, 52 - 1) = "1", OFFSET($A$1, 586 - 1, 53 - 1) = "1" ), 1, IF( AND( OFFSET($A$1, 586 - 1, 52 - 1) = "1", OFFSET($A$1, 586 - 1, 53 - 1) = "0" ), 2, IF( AND( OFFSET($A$1, 586 - 1, 52 - 1) = "0", OFFSET($A$1, 586 - 1, 53 - 1) = "1" ), 3, 4 ) ) )</f>
        <v>4</v>
      </c>
    </row>
    <row r="587" spans="51:54" x14ac:dyDescent="0.25">
      <c r="AY587" s="7">
        <v>1</v>
      </c>
      <c r="AZ587" s="7" t="str">
        <f>"1"</f>
        <v>1</v>
      </c>
      <c r="BA587" t="str">
        <f ca="1">IF((OFFSET($A$1, 587 - 1, 51 - 1)) &gt;= (OFFSET($A$1, 77 - 1, 7 - 1)), "1","0")</f>
        <v>1</v>
      </c>
      <c r="BB587">
        <f ca="1" xml:space="preserve"> IF( AND( OFFSET($A$1, 587 - 1, 52 - 1) = "1", OFFSET($A$1, 587 - 1, 53 - 1) = "1" ), 1, IF( AND( OFFSET($A$1, 587 - 1, 52 - 1) = "1", OFFSET($A$1, 587 - 1, 53 - 1) = "0" ), 2, IF( AND( OFFSET($A$1, 587 - 1, 52 - 1) = "0", OFFSET($A$1, 587 - 1, 53 - 1) = "1" ), 3, 4 ) ) )</f>
        <v>1</v>
      </c>
    </row>
    <row r="588" spans="51:54" x14ac:dyDescent="0.25">
      <c r="AY588" s="7">
        <v>0.94117647058823528</v>
      </c>
      <c r="AZ588" s="7" t="str">
        <f>"1"</f>
        <v>1</v>
      </c>
      <c r="BA588" t="str">
        <f ca="1">IF((OFFSET($A$1, 588 - 1, 51 - 1)) &gt;= (OFFSET($A$1, 77 - 1, 7 - 1)), "1","0")</f>
        <v>1</v>
      </c>
      <c r="BB588">
        <f ca="1" xml:space="preserve"> IF( AND( OFFSET($A$1, 588 - 1, 52 - 1) = "1", OFFSET($A$1, 588 - 1, 53 - 1) = "1" ), 1, IF( AND( OFFSET($A$1, 588 - 1, 52 - 1) = "1", OFFSET($A$1, 588 - 1, 53 - 1) = "0" ), 2, IF( AND( OFFSET($A$1, 588 - 1, 52 - 1) = "0", OFFSET($A$1, 588 - 1, 53 - 1) = "1" ), 3, 4 ) ) )</f>
        <v>1</v>
      </c>
    </row>
    <row r="589" spans="51:54" x14ac:dyDescent="0.25">
      <c r="AY589" s="7">
        <v>0</v>
      </c>
      <c r="AZ589" s="7" t="str">
        <f>"0"</f>
        <v>0</v>
      </c>
      <c r="BA589" t="str">
        <f ca="1">IF((OFFSET($A$1, 589 - 1, 51 - 1)) &gt;= (OFFSET($A$1, 77 - 1, 7 - 1)), "1","0")</f>
        <v>0</v>
      </c>
      <c r="BB589">
        <f ca="1" xml:space="preserve"> IF( AND( OFFSET($A$1, 589 - 1, 52 - 1) = "1", OFFSET($A$1, 589 - 1, 53 - 1) = "1" ), 1, IF( AND( OFFSET($A$1, 589 - 1, 52 - 1) = "1", OFFSET($A$1, 589 - 1, 53 - 1) = "0" ), 2, IF( AND( OFFSET($A$1, 589 - 1, 52 - 1) = "0", OFFSET($A$1, 589 - 1, 53 - 1) = "1" ), 3, 4 ) ) )</f>
        <v>4</v>
      </c>
    </row>
    <row r="590" spans="51:54" x14ac:dyDescent="0.25">
      <c r="AY590" s="7">
        <v>0.41176470588235292</v>
      </c>
      <c r="AZ590" s="7" t="str">
        <f>"1"</f>
        <v>1</v>
      </c>
      <c r="BA590" t="str">
        <f ca="1">IF((OFFSET($A$1, 590 - 1, 51 - 1)) &gt;= (OFFSET($A$1, 77 - 1, 7 - 1)), "1","0")</f>
        <v>0</v>
      </c>
      <c r="BB590">
        <f ca="1" xml:space="preserve"> IF( AND( OFFSET($A$1, 590 - 1, 52 - 1) = "1", OFFSET($A$1, 590 - 1, 53 - 1) = "1" ), 1, IF( AND( OFFSET($A$1, 590 - 1, 52 - 1) = "1", OFFSET($A$1, 590 - 1, 53 - 1) = "0" ), 2, IF( AND( OFFSET($A$1, 590 - 1, 52 - 1) = "0", OFFSET($A$1, 590 - 1, 53 - 1) = "1" ), 3, 4 ) ) )</f>
        <v>2</v>
      </c>
    </row>
    <row r="591" spans="51:54" x14ac:dyDescent="0.25">
      <c r="AY591" s="7">
        <v>0</v>
      </c>
      <c r="AZ591" s="7" t="str">
        <f>"0"</f>
        <v>0</v>
      </c>
      <c r="BA591" t="str">
        <f ca="1">IF((OFFSET($A$1, 591 - 1, 51 - 1)) &gt;= (OFFSET($A$1, 77 - 1, 7 - 1)), "1","0")</f>
        <v>0</v>
      </c>
      <c r="BB591">
        <f ca="1" xml:space="preserve"> IF( AND( OFFSET($A$1, 591 - 1, 52 - 1) = "1", OFFSET($A$1, 591 - 1, 53 - 1) = "1" ), 1, IF( AND( OFFSET($A$1, 591 - 1, 52 - 1) = "1", OFFSET($A$1, 591 - 1, 53 - 1) = "0" ), 2, IF( AND( OFFSET($A$1, 591 - 1, 52 - 1) = "0", OFFSET($A$1, 591 - 1, 53 - 1) = "1" ), 3, 4 ) ) )</f>
        <v>4</v>
      </c>
    </row>
    <row r="592" spans="51:54" x14ac:dyDescent="0.25">
      <c r="AY592" s="7">
        <v>0</v>
      </c>
      <c r="AZ592" s="7" t="str">
        <f>"0"</f>
        <v>0</v>
      </c>
      <c r="BA592" t="str">
        <f ca="1">IF((OFFSET($A$1, 592 - 1, 51 - 1)) &gt;= (OFFSET($A$1, 77 - 1, 7 - 1)), "1","0")</f>
        <v>0</v>
      </c>
      <c r="BB592">
        <f ca="1" xml:space="preserve"> IF( AND( OFFSET($A$1, 592 - 1, 52 - 1) = "1", OFFSET($A$1, 592 - 1, 53 - 1) = "1" ), 1, IF( AND( OFFSET($A$1, 592 - 1, 52 - 1) = "1", OFFSET($A$1, 592 - 1, 53 - 1) = "0" ), 2, IF( AND( OFFSET($A$1, 592 - 1, 52 - 1) = "0", OFFSET($A$1, 592 - 1, 53 - 1) = "1" ), 3, 4 ) ) )</f>
        <v>4</v>
      </c>
    </row>
    <row r="593" spans="51:54" x14ac:dyDescent="0.25">
      <c r="AY593" s="7">
        <v>1</v>
      </c>
      <c r="AZ593" s="7" t="str">
        <f>"1"</f>
        <v>1</v>
      </c>
      <c r="BA593" t="str">
        <f ca="1">IF((OFFSET($A$1, 593 - 1, 51 - 1)) &gt;= (OFFSET($A$1, 77 - 1, 7 - 1)), "1","0")</f>
        <v>1</v>
      </c>
      <c r="BB593">
        <f ca="1" xml:space="preserve"> IF( AND( OFFSET($A$1, 593 - 1, 52 - 1) = "1", OFFSET($A$1, 593 - 1, 53 - 1) = "1" ), 1, IF( AND( OFFSET($A$1, 593 - 1, 52 - 1) = "1", OFFSET($A$1, 593 - 1, 53 - 1) = "0" ), 2, IF( AND( OFFSET($A$1, 593 - 1, 52 - 1) = "0", OFFSET($A$1, 593 - 1, 53 - 1) = "1" ), 3, 4 ) ) )</f>
        <v>1</v>
      </c>
    </row>
    <row r="594" spans="51:54" x14ac:dyDescent="0.25">
      <c r="AY594" s="7">
        <v>0</v>
      </c>
      <c r="AZ594" s="7" t="str">
        <f>"0"</f>
        <v>0</v>
      </c>
      <c r="BA594" t="str">
        <f ca="1">IF((OFFSET($A$1, 594 - 1, 51 - 1)) &gt;= (OFFSET($A$1, 77 - 1, 7 - 1)), "1","0")</f>
        <v>0</v>
      </c>
      <c r="BB594">
        <f ca="1" xml:space="preserve"> IF( AND( OFFSET($A$1, 594 - 1, 52 - 1) = "1", OFFSET($A$1, 594 - 1, 53 - 1) = "1" ), 1, IF( AND( OFFSET($A$1, 594 - 1, 52 - 1) = "1", OFFSET($A$1, 594 - 1, 53 - 1) = "0" ), 2, IF( AND( OFFSET($A$1, 594 - 1, 52 - 1) = "0", OFFSET($A$1, 594 - 1, 53 - 1) = "1" ), 3, 4 ) ) )</f>
        <v>4</v>
      </c>
    </row>
    <row r="595" spans="51:54" x14ac:dyDescent="0.25">
      <c r="AY595" s="7">
        <v>1</v>
      </c>
      <c r="AZ595" s="7" t="str">
        <f>"1"</f>
        <v>1</v>
      </c>
      <c r="BA595" t="str">
        <f ca="1">IF((OFFSET($A$1, 595 - 1, 51 - 1)) &gt;= (OFFSET($A$1, 77 - 1, 7 - 1)), "1","0")</f>
        <v>1</v>
      </c>
      <c r="BB595">
        <f ca="1" xml:space="preserve"> IF( AND( OFFSET($A$1, 595 - 1, 52 - 1) = "1", OFFSET($A$1, 595 - 1, 53 - 1) = "1" ), 1, IF( AND( OFFSET($A$1, 595 - 1, 52 - 1) = "1", OFFSET($A$1, 595 - 1, 53 - 1) = "0" ), 2, IF( AND( OFFSET($A$1, 595 - 1, 52 - 1) = "0", OFFSET($A$1, 595 - 1, 53 - 1) = "1" ), 3, 4 ) ) )</f>
        <v>1</v>
      </c>
    </row>
    <row r="596" spans="51:54" x14ac:dyDescent="0.25">
      <c r="AY596" s="7">
        <v>0.23529411764705882</v>
      </c>
      <c r="AZ596" s="7" t="str">
        <f>"0"</f>
        <v>0</v>
      </c>
      <c r="BA596" t="str">
        <f ca="1">IF((OFFSET($A$1, 596 - 1, 51 - 1)) &gt;= (OFFSET($A$1, 77 - 1, 7 - 1)), "1","0")</f>
        <v>0</v>
      </c>
      <c r="BB596">
        <f ca="1" xml:space="preserve"> IF( AND( OFFSET($A$1, 596 - 1, 52 - 1) = "1", OFFSET($A$1, 596 - 1, 53 - 1) = "1" ), 1, IF( AND( OFFSET($A$1, 596 - 1, 52 - 1) = "1", OFFSET($A$1, 596 - 1, 53 - 1) = "0" ), 2, IF( AND( OFFSET($A$1, 596 - 1, 52 - 1) = "0", OFFSET($A$1, 596 - 1, 53 - 1) = "1" ), 3, 4 ) ) )</f>
        <v>4</v>
      </c>
    </row>
    <row r="597" spans="51:54" x14ac:dyDescent="0.25">
      <c r="AY597" s="7">
        <v>0</v>
      </c>
      <c r="AZ597" s="7" t="str">
        <f>"0"</f>
        <v>0</v>
      </c>
      <c r="BA597" t="str">
        <f ca="1">IF((OFFSET($A$1, 597 - 1, 51 - 1)) &gt;= (OFFSET($A$1, 77 - 1, 7 - 1)), "1","0")</f>
        <v>0</v>
      </c>
      <c r="BB597">
        <f ca="1" xml:space="preserve"> IF( AND( OFFSET($A$1, 597 - 1, 52 - 1) = "1", OFFSET($A$1, 597 - 1, 53 - 1) = "1" ), 1, IF( AND( OFFSET($A$1, 597 - 1, 52 - 1) = "1", OFFSET($A$1, 597 - 1, 53 - 1) = "0" ), 2, IF( AND( OFFSET($A$1, 597 - 1, 52 - 1) = "0", OFFSET($A$1, 597 - 1, 53 - 1) = "1" ), 3, 4 ) ) )</f>
        <v>4</v>
      </c>
    </row>
    <row r="598" spans="51:54" x14ac:dyDescent="0.25">
      <c r="AY598" s="7">
        <v>0.35294117647058826</v>
      </c>
      <c r="AZ598" s="7" t="str">
        <f>"0"</f>
        <v>0</v>
      </c>
      <c r="BA598" t="str">
        <f ca="1">IF((OFFSET($A$1, 598 - 1, 51 - 1)) &gt;= (OFFSET($A$1, 77 - 1, 7 - 1)), "1","0")</f>
        <v>0</v>
      </c>
      <c r="BB598">
        <f ca="1" xml:space="preserve"> IF( AND( OFFSET($A$1, 598 - 1, 52 - 1) = "1", OFFSET($A$1, 598 - 1, 53 - 1) = "1" ), 1, IF( AND( OFFSET($A$1, 598 - 1, 52 - 1) = "1", OFFSET($A$1, 598 - 1, 53 - 1) = "0" ), 2, IF( AND( OFFSET($A$1, 598 - 1, 52 - 1) = "0", OFFSET($A$1, 598 - 1, 53 - 1) = "1" ), 3, 4 ) ) )</f>
        <v>4</v>
      </c>
    </row>
    <row r="599" spans="51:54" x14ac:dyDescent="0.25">
      <c r="AY599" s="7">
        <v>1</v>
      </c>
      <c r="AZ599" s="7" t="str">
        <f>"1"</f>
        <v>1</v>
      </c>
      <c r="BA599" t="str">
        <f ca="1">IF((OFFSET($A$1, 599 - 1, 51 - 1)) &gt;= (OFFSET($A$1, 77 - 1, 7 - 1)), "1","0")</f>
        <v>1</v>
      </c>
      <c r="BB599">
        <f ca="1" xml:space="preserve"> IF( AND( OFFSET($A$1, 599 - 1, 52 - 1) = "1", OFFSET($A$1, 599 - 1, 53 - 1) = "1" ), 1, IF( AND( OFFSET($A$1, 599 - 1, 52 - 1) = "1", OFFSET($A$1, 599 - 1, 53 - 1) = "0" ), 2, IF( AND( OFFSET($A$1, 599 - 1, 52 - 1) = "0", OFFSET($A$1, 599 - 1, 53 - 1) = "1" ), 3, 4 ) ) )</f>
        <v>1</v>
      </c>
    </row>
    <row r="600" spans="51:54" x14ac:dyDescent="0.25">
      <c r="AY600" s="7">
        <v>0</v>
      </c>
      <c r="AZ600" s="7" t="str">
        <f>"0"</f>
        <v>0</v>
      </c>
      <c r="BA600" t="str">
        <f ca="1">IF((OFFSET($A$1, 600 - 1, 51 - 1)) &gt;= (OFFSET($A$1, 77 - 1, 7 - 1)), "1","0")</f>
        <v>0</v>
      </c>
      <c r="BB600">
        <f ca="1" xml:space="preserve"> IF( AND( OFFSET($A$1, 600 - 1, 52 - 1) = "1", OFFSET($A$1, 600 - 1, 53 - 1) = "1" ), 1, IF( AND( OFFSET($A$1, 600 - 1, 52 - 1) = "1", OFFSET($A$1, 600 - 1, 53 - 1) = "0" ), 2, IF( AND( OFFSET($A$1, 600 - 1, 52 - 1) = "0", OFFSET($A$1, 600 - 1, 53 - 1) = "1" ), 3, 4 ) ) )</f>
        <v>4</v>
      </c>
    </row>
  </sheetData>
  <mergeCells count="67">
    <mergeCell ref="B4:K4"/>
    <mergeCell ref="N4:Q4"/>
    <mergeCell ref="F5:G5"/>
    <mergeCell ref="H5:I5"/>
    <mergeCell ref="J5:K5"/>
    <mergeCell ref="B6:C6"/>
    <mergeCell ref="D6:E6"/>
    <mergeCell ref="F6:G6"/>
    <mergeCell ref="H6:I6"/>
    <mergeCell ref="J6:K6"/>
    <mergeCell ref="C116:D116"/>
    <mergeCell ref="C117:D117"/>
    <mergeCell ref="C118:D118"/>
    <mergeCell ref="C119:D119"/>
    <mergeCell ref="C120:D120"/>
    <mergeCell ref="B5:C5"/>
    <mergeCell ref="D5:E5"/>
    <mergeCell ref="C101:F101"/>
    <mergeCell ref="H101:M101"/>
    <mergeCell ref="C103:E103"/>
    <mergeCell ref="D104:E104"/>
    <mergeCell ref="C109:F109"/>
    <mergeCell ref="C115:E115"/>
    <mergeCell ref="C91:E91"/>
    <mergeCell ref="C92:D92"/>
    <mergeCell ref="C93:D93"/>
    <mergeCell ref="C94:D94"/>
    <mergeCell ref="C95:D95"/>
    <mergeCell ref="C96:D96"/>
    <mergeCell ref="C43:G43"/>
    <mergeCell ref="C77:F77"/>
    <mergeCell ref="H77:M77"/>
    <mergeCell ref="C79:E79"/>
    <mergeCell ref="D80:E80"/>
    <mergeCell ref="C85:F85"/>
    <mergeCell ref="C33:G33"/>
    <mergeCell ref="C34:G34"/>
    <mergeCell ref="C35:G35"/>
    <mergeCell ref="C36:G36"/>
    <mergeCell ref="C37:G37"/>
    <mergeCell ref="C38:G38"/>
    <mergeCell ref="C29:E29"/>
    <mergeCell ref="C30:E30"/>
    <mergeCell ref="C31:E31"/>
    <mergeCell ref="F28:I28"/>
    <mergeCell ref="F29:I29"/>
    <mergeCell ref="F30:I30"/>
    <mergeCell ref="F31:I31"/>
    <mergeCell ref="C22:E22"/>
    <mergeCell ref="C23:D23"/>
    <mergeCell ref="C24:D24"/>
    <mergeCell ref="C25:D25"/>
    <mergeCell ref="C27:I27"/>
    <mergeCell ref="C28:E28"/>
    <mergeCell ref="C20:F20"/>
    <mergeCell ref="G15:K15"/>
    <mergeCell ref="G16:K16"/>
    <mergeCell ref="G17:K17"/>
    <mergeCell ref="G18:K18"/>
    <mergeCell ref="G19:K19"/>
    <mergeCell ref="G20:K20"/>
    <mergeCell ref="C14:K14"/>
    <mergeCell ref="C15:F15"/>
    <mergeCell ref="C16:F16"/>
    <mergeCell ref="C17:F17"/>
    <mergeCell ref="C18:F18"/>
    <mergeCell ref="C19:F19"/>
  </mergeCells>
  <hyperlinks>
    <hyperlink ref="B5" location="'KNNC_NewScore'!$B$12:$B$12" display="New Data Detail Rpt."/>
    <hyperlink ref="D5" location="'KNNC_Output'!$B$12:$B$12" display="Inputs"/>
    <hyperlink ref="F5" location="'KNNC_Output'!$B$41:$B$41" display="Prior Class Prob."/>
    <hyperlink ref="H5" location="'KNNC_Output'!$B$50:$B$50" display="Valid. Error Log"/>
    <hyperlink ref="J5" location="'KNNC_Output'!$B$75:$B$75" display="Train. Score - Summary"/>
    <hyperlink ref="B6" location="'KNNC_Output'!$B$99:$B$99" display="Valid. Score - Summary"/>
    <hyperlink ref="D6" location="'KNNC_TrainingLiftChart'!$B$12:$B$12" display="Training Lift Chart"/>
    <hyperlink ref="F6" location="'KNNC_ValidationLiftChart'!$B$12:$B$12" display="Validation Lift Char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603"/>
  <sheetViews>
    <sheetView showGridLines="0" workbookViewId="0"/>
  </sheetViews>
  <sheetFormatPr defaultRowHeight="15.75" x14ac:dyDescent="0.25"/>
  <cols>
    <col min="14" max="14" width="9.75" bestFit="1" customWidth="1"/>
    <col min="52" max="52" width="7.125" customWidth="1"/>
    <col min="53" max="53" width="12" bestFit="1" customWidth="1"/>
    <col min="54" max="54" width="9.625" bestFit="1" customWidth="1"/>
    <col min="55" max="55" width="38.625" bestFit="1" customWidth="1"/>
    <col min="56" max="56" width="23.1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x14ac:dyDescent="0.25">
      <c r="BZ1" s="10" t="s">
        <v>83</v>
      </c>
      <c r="CA1" s="10" t="s">
        <v>84</v>
      </c>
      <c r="CB1" s="10" t="s">
        <v>85</v>
      </c>
    </row>
    <row r="2" spans="2:80" ht="18.75" x14ac:dyDescent="0.3">
      <c r="B2" s="5" t="s">
        <v>91</v>
      </c>
      <c r="N2" t="s">
        <v>24</v>
      </c>
      <c r="BZ2">
        <v>0</v>
      </c>
      <c r="CA2">
        <v>0</v>
      </c>
      <c r="CB2">
        <v>0</v>
      </c>
    </row>
    <row r="3" spans="2:80" x14ac:dyDescent="0.25">
      <c r="AZ3" s="10" t="s">
        <v>76</v>
      </c>
      <c r="BA3" s="10" t="s">
        <v>77</v>
      </c>
      <c r="BB3" s="10" t="s">
        <v>78</v>
      </c>
      <c r="BC3" s="10" t="s">
        <v>79</v>
      </c>
      <c r="BD3" s="10" t="s">
        <v>80</v>
      </c>
      <c r="BE3" s="10" t="s">
        <v>81</v>
      </c>
      <c r="BF3" s="10" t="s">
        <v>82</v>
      </c>
      <c r="BZ3">
        <v>0</v>
      </c>
      <c r="CA3">
        <v>0.43718592964824121</v>
      </c>
      <c r="CB3">
        <v>0</v>
      </c>
    </row>
    <row r="4" spans="2:80" x14ac:dyDescent="0.25">
      <c r="B4" s="11" t="s">
        <v>5</v>
      </c>
      <c r="C4" s="12"/>
      <c r="D4" s="12"/>
      <c r="E4" s="12"/>
      <c r="F4" s="12"/>
      <c r="G4" s="12"/>
      <c r="H4" s="12"/>
      <c r="I4" s="12"/>
      <c r="J4" s="12"/>
      <c r="K4" s="13"/>
      <c r="N4" s="11" t="s">
        <v>6</v>
      </c>
      <c r="O4" s="12"/>
      <c r="P4" s="12"/>
      <c r="Q4" s="13"/>
      <c r="AZ4" s="23">
        <v>1</v>
      </c>
      <c r="BA4" s="23">
        <v>1</v>
      </c>
      <c r="BB4" s="23">
        <v>1</v>
      </c>
      <c r="BC4" s="23">
        <v>1</v>
      </c>
      <c r="BD4" s="23">
        <v>0.33166666666666667</v>
      </c>
      <c r="BE4">
        <v>1</v>
      </c>
      <c r="BF4">
        <v>3.0150753768844223</v>
      </c>
      <c r="BZ4">
        <v>4.9875311720698253E-3</v>
      </c>
      <c r="CA4">
        <v>0.56281407035175879</v>
      </c>
      <c r="CB4">
        <v>4.9875311720698253E-3</v>
      </c>
    </row>
    <row r="5" spans="2:80" x14ac:dyDescent="0.25">
      <c r="B5" s="21" t="s">
        <v>67</v>
      </c>
      <c r="C5" s="18"/>
      <c r="D5" s="21" t="s">
        <v>68</v>
      </c>
      <c r="E5" s="18"/>
      <c r="F5" s="21" t="s">
        <v>69</v>
      </c>
      <c r="G5" s="18"/>
      <c r="H5" s="21" t="s">
        <v>70</v>
      </c>
      <c r="I5" s="18"/>
      <c r="J5" s="21" t="s">
        <v>71</v>
      </c>
      <c r="K5" s="18"/>
      <c r="N5" s="10" t="s">
        <v>56</v>
      </c>
      <c r="O5" s="10" t="s">
        <v>57</v>
      </c>
      <c r="P5" s="10" t="s">
        <v>58</v>
      </c>
      <c r="Q5" s="10" t="s">
        <v>9</v>
      </c>
      <c r="AZ5" s="23">
        <v>2</v>
      </c>
      <c r="BA5" s="23">
        <v>1</v>
      </c>
      <c r="BB5" s="23">
        <v>1</v>
      </c>
      <c r="BC5" s="23">
        <v>2</v>
      </c>
      <c r="BD5" s="23">
        <v>0.66333333333333333</v>
      </c>
      <c r="BE5">
        <v>2</v>
      </c>
      <c r="BF5">
        <v>2.9145728643216082</v>
      </c>
      <c r="BZ5">
        <v>1.2468827930174564E-2</v>
      </c>
      <c r="CA5">
        <v>0.66834170854271358</v>
      </c>
      <c r="CB5">
        <v>1.2468827930174564E-2</v>
      </c>
    </row>
    <row r="6" spans="2:80" x14ac:dyDescent="0.25">
      <c r="B6" s="21" t="s">
        <v>72</v>
      </c>
      <c r="C6" s="18"/>
      <c r="D6" s="21" t="s">
        <v>73</v>
      </c>
      <c r="E6" s="18"/>
      <c r="F6" s="21" t="s">
        <v>74</v>
      </c>
      <c r="G6" s="18"/>
      <c r="H6" s="17"/>
      <c r="I6" s="18"/>
      <c r="J6" s="17"/>
      <c r="K6" s="18"/>
      <c r="N6" s="7">
        <v>0</v>
      </c>
      <c r="O6" s="7">
        <v>31</v>
      </c>
      <c r="P6" s="7">
        <v>16</v>
      </c>
      <c r="Q6" s="7">
        <v>47</v>
      </c>
      <c r="AZ6" s="23">
        <v>3</v>
      </c>
      <c r="BA6" s="23">
        <v>1</v>
      </c>
      <c r="BB6" s="23">
        <v>1</v>
      </c>
      <c r="BC6" s="23">
        <v>3</v>
      </c>
      <c r="BD6" s="23">
        <v>0.995</v>
      </c>
      <c r="BE6">
        <v>3</v>
      </c>
      <c r="BF6">
        <v>2.2613065326633168</v>
      </c>
      <c r="BZ6">
        <v>2.2443890274314215E-2</v>
      </c>
      <c r="CA6">
        <v>0.74874371859296485</v>
      </c>
      <c r="CB6">
        <v>2.2443890274314215E-2</v>
      </c>
    </row>
    <row r="7" spans="2:80" x14ac:dyDescent="0.25">
      <c r="AZ7" s="23">
        <v>4</v>
      </c>
      <c r="BA7" s="23">
        <v>1</v>
      </c>
      <c r="BB7" s="23">
        <v>1</v>
      </c>
      <c r="BC7" s="23">
        <v>4</v>
      </c>
      <c r="BD7" s="23">
        <v>1.3266666666666667</v>
      </c>
      <c r="BE7">
        <v>4</v>
      </c>
      <c r="BF7">
        <v>1.306532663316583</v>
      </c>
      <c r="BZ7">
        <v>2.2443890274314215E-2</v>
      </c>
      <c r="CA7">
        <v>0.76381909547738691</v>
      </c>
      <c r="CB7">
        <v>2.2443890274314215E-2</v>
      </c>
    </row>
    <row r="8" spans="2:80" x14ac:dyDescent="0.25">
      <c r="AZ8" s="23">
        <v>5</v>
      </c>
      <c r="BA8" s="23">
        <v>1</v>
      </c>
      <c r="BB8" s="23">
        <v>1</v>
      </c>
      <c r="BC8" s="23">
        <v>5</v>
      </c>
      <c r="BD8" s="23">
        <v>1.6583333333333332</v>
      </c>
      <c r="BE8">
        <v>5</v>
      </c>
      <c r="BF8">
        <v>0.4020100502512563</v>
      </c>
      <c r="BZ8">
        <v>3.4912718204488775E-2</v>
      </c>
      <c r="CA8">
        <v>0.78894472361809043</v>
      </c>
      <c r="CB8">
        <v>3.4912718204488775E-2</v>
      </c>
    </row>
    <row r="9" spans="2:80" x14ac:dyDescent="0.25">
      <c r="AZ9" s="23">
        <v>6</v>
      </c>
      <c r="BA9" s="23">
        <v>1</v>
      </c>
      <c r="BB9" s="23">
        <v>1</v>
      </c>
      <c r="BC9" s="23">
        <v>6</v>
      </c>
      <c r="BD9" s="23">
        <v>1.99</v>
      </c>
      <c r="BE9">
        <v>6</v>
      </c>
      <c r="BF9">
        <v>0.10050251256281408</v>
      </c>
      <c r="BZ9">
        <v>3.9900249376558602E-2</v>
      </c>
      <c r="CA9">
        <v>0.81407035175879394</v>
      </c>
      <c r="CB9">
        <v>3.9900249376558602E-2</v>
      </c>
    </row>
    <row r="10" spans="2:80" x14ac:dyDescent="0.25">
      <c r="AZ10" s="23">
        <v>7</v>
      </c>
      <c r="BA10" s="23">
        <v>1</v>
      </c>
      <c r="BB10" s="23">
        <v>1</v>
      </c>
      <c r="BC10" s="23">
        <v>7</v>
      </c>
      <c r="BD10" s="23">
        <v>2.3216666666666668</v>
      </c>
      <c r="BE10">
        <v>7</v>
      </c>
      <c r="BF10">
        <v>0</v>
      </c>
      <c r="BZ10">
        <v>4.2394014962593519E-2</v>
      </c>
      <c r="CA10">
        <v>0.82914572864321612</v>
      </c>
      <c r="CB10">
        <v>4.2394014962593519E-2</v>
      </c>
    </row>
    <row r="11" spans="2:80" x14ac:dyDescent="0.25">
      <c r="AZ11" s="23">
        <v>8</v>
      </c>
      <c r="BA11" s="23">
        <v>1</v>
      </c>
      <c r="BB11" s="23">
        <v>1</v>
      </c>
      <c r="BC11" s="23">
        <v>8</v>
      </c>
      <c r="BD11" s="23">
        <v>2.6533333333333333</v>
      </c>
      <c r="BE11">
        <v>8</v>
      </c>
      <c r="BF11">
        <v>0</v>
      </c>
      <c r="BZ11">
        <v>4.488778054862843E-2</v>
      </c>
      <c r="CA11">
        <v>0.83919597989949746</v>
      </c>
      <c r="CB11">
        <v>4.488778054862843E-2</v>
      </c>
    </row>
    <row r="12" spans="2:80" x14ac:dyDescent="0.25">
      <c r="AZ12" s="23">
        <v>9</v>
      </c>
      <c r="BA12" s="23">
        <v>1</v>
      </c>
      <c r="BB12" s="23">
        <v>1</v>
      </c>
      <c r="BC12" s="23">
        <v>9</v>
      </c>
      <c r="BD12" s="23">
        <v>2.9849999999999999</v>
      </c>
      <c r="BE12">
        <v>9</v>
      </c>
      <c r="BF12">
        <v>0</v>
      </c>
      <c r="BZ12">
        <v>6.2344139650872821E-2</v>
      </c>
      <c r="CA12">
        <v>0.84924623115577891</v>
      </c>
      <c r="CB12">
        <v>6.2344139650872821E-2</v>
      </c>
    </row>
    <row r="13" spans="2:80" x14ac:dyDescent="0.25">
      <c r="AZ13" s="23">
        <v>10</v>
      </c>
      <c r="BA13" s="23">
        <v>1</v>
      </c>
      <c r="BB13" s="23">
        <v>1</v>
      </c>
      <c r="BC13" s="23">
        <v>10</v>
      </c>
      <c r="BD13" s="23">
        <v>3.3166666666666664</v>
      </c>
      <c r="BE13">
        <v>10</v>
      </c>
      <c r="BF13">
        <v>0</v>
      </c>
      <c r="BZ13">
        <v>8.2294264339152115E-2</v>
      </c>
      <c r="CA13">
        <v>0.89447236180904521</v>
      </c>
      <c r="CB13">
        <v>8.2294264339152115E-2</v>
      </c>
    </row>
    <row r="14" spans="2:80" x14ac:dyDescent="0.25">
      <c r="AZ14" s="23">
        <v>11</v>
      </c>
      <c r="BA14" s="23">
        <v>1</v>
      </c>
      <c r="BB14" s="23">
        <v>1</v>
      </c>
      <c r="BC14" s="23">
        <v>11</v>
      </c>
      <c r="BD14" s="23">
        <v>3.6483333333333334</v>
      </c>
      <c r="BZ14">
        <v>9.9750623441396513E-2</v>
      </c>
      <c r="CA14">
        <v>0.91959798994974873</v>
      </c>
      <c r="CB14">
        <v>9.9750623441396513E-2</v>
      </c>
    </row>
    <row r="15" spans="2:80" x14ac:dyDescent="0.25">
      <c r="AZ15" s="23">
        <v>12</v>
      </c>
      <c r="BA15" s="23">
        <v>1</v>
      </c>
      <c r="BB15" s="23">
        <v>1</v>
      </c>
      <c r="BC15" s="23">
        <v>12</v>
      </c>
      <c r="BD15" s="23">
        <v>3.98</v>
      </c>
      <c r="BZ15">
        <v>0.12219451371571072</v>
      </c>
      <c r="CA15">
        <v>0.94472361809045224</v>
      </c>
      <c r="CB15">
        <v>0.12219451371571072</v>
      </c>
    </row>
    <row r="16" spans="2:80" x14ac:dyDescent="0.25">
      <c r="AZ16" s="23">
        <v>13</v>
      </c>
      <c r="BA16" s="23">
        <v>1</v>
      </c>
      <c r="BB16" s="23">
        <v>1</v>
      </c>
      <c r="BC16" s="23">
        <v>13</v>
      </c>
      <c r="BD16" s="23">
        <v>4.3116666666666665</v>
      </c>
      <c r="BZ16">
        <v>0.18204488778054864</v>
      </c>
      <c r="CA16">
        <v>0.97487437185929648</v>
      </c>
      <c r="CB16">
        <v>0.18204488778054864</v>
      </c>
    </row>
    <row r="17" spans="52:80" x14ac:dyDescent="0.25">
      <c r="AZ17" s="23">
        <v>14</v>
      </c>
      <c r="BA17" s="23">
        <v>1</v>
      </c>
      <c r="BB17" s="23">
        <v>1</v>
      </c>
      <c r="BC17" s="23">
        <v>14</v>
      </c>
      <c r="BD17" s="23">
        <v>4.6433333333333335</v>
      </c>
      <c r="BZ17">
        <v>0.21446384039900249</v>
      </c>
      <c r="CA17">
        <v>0.98492462311557794</v>
      </c>
      <c r="CB17">
        <v>0.21446384039900249</v>
      </c>
    </row>
    <row r="18" spans="52:80" x14ac:dyDescent="0.25">
      <c r="AZ18" s="23">
        <v>15</v>
      </c>
      <c r="BA18" s="23">
        <v>1</v>
      </c>
      <c r="BB18" s="23">
        <v>1</v>
      </c>
      <c r="BC18" s="23">
        <v>15</v>
      </c>
      <c r="BD18" s="23">
        <v>4.9749999999999996</v>
      </c>
      <c r="BZ18">
        <v>0.23192019950124687</v>
      </c>
      <c r="CA18">
        <v>0.98492462311557794</v>
      </c>
      <c r="CB18">
        <v>0.23192019950124687</v>
      </c>
    </row>
    <row r="19" spans="52:80" x14ac:dyDescent="0.25">
      <c r="AZ19" s="23">
        <v>16</v>
      </c>
      <c r="BA19" s="23">
        <v>1</v>
      </c>
      <c r="BB19" s="23">
        <v>1</v>
      </c>
      <c r="BC19" s="23">
        <v>16</v>
      </c>
      <c r="BD19" s="23">
        <v>5.3066666666666666</v>
      </c>
      <c r="BZ19">
        <v>0.34663341645885287</v>
      </c>
      <c r="CA19">
        <v>1</v>
      </c>
      <c r="CB19">
        <v>0.34663341645885287</v>
      </c>
    </row>
    <row r="20" spans="52:80" x14ac:dyDescent="0.25">
      <c r="AZ20" s="23">
        <v>17</v>
      </c>
      <c r="BA20" s="23">
        <v>1</v>
      </c>
      <c r="BB20" s="23">
        <v>1</v>
      </c>
      <c r="BC20" s="23">
        <v>17</v>
      </c>
      <c r="BD20" s="23">
        <v>5.6383333333333336</v>
      </c>
      <c r="BZ20">
        <v>1</v>
      </c>
      <c r="CA20">
        <v>1</v>
      </c>
      <c r="CB20">
        <v>1</v>
      </c>
    </row>
    <row r="21" spans="52:80" x14ac:dyDescent="0.25">
      <c r="AZ21" s="23">
        <v>18</v>
      </c>
      <c r="BA21" s="23">
        <v>1</v>
      </c>
      <c r="BB21" s="23">
        <v>1</v>
      </c>
      <c r="BC21" s="23">
        <v>18</v>
      </c>
      <c r="BD21" s="23">
        <v>5.97</v>
      </c>
    </row>
    <row r="22" spans="52:80" x14ac:dyDescent="0.25">
      <c r="AZ22" s="23">
        <v>19</v>
      </c>
      <c r="BA22" s="23">
        <v>1</v>
      </c>
      <c r="BB22" s="23">
        <v>1</v>
      </c>
      <c r="BC22" s="23">
        <v>19</v>
      </c>
      <c r="BD22" s="23">
        <v>6.3016666666666667</v>
      </c>
    </row>
    <row r="23" spans="52:80" x14ac:dyDescent="0.25">
      <c r="AZ23" s="23">
        <v>20</v>
      </c>
      <c r="BA23" s="23">
        <v>1</v>
      </c>
      <c r="BB23" s="23">
        <v>1</v>
      </c>
      <c r="BC23" s="23">
        <v>20</v>
      </c>
      <c r="BD23" s="23">
        <v>6.6333333333333329</v>
      </c>
    </row>
    <row r="24" spans="52:80" x14ac:dyDescent="0.25">
      <c r="AZ24" s="23">
        <v>21</v>
      </c>
      <c r="BA24" s="23">
        <v>1</v>
      </c>
      <c r="BB24" s="23">
        <v>1</v>
      </c>
      <c r="BC24" s="23">
        <v>21</v>
      </c>
      <c r="BD24" s="23">
        <v>6.9649999999999999</v>
      </c>
    </row>
    <row r="25" spans="52:80" x14ac:dyDescent="0.25">
      <c r="AZ25" s="23">
        <v>22</v>
      </c>
      <c r="BA25" s="23">
        <v>1</v>
      </c>
      <c r="BB25" s="23">
        <v>1</v>
      </c>
      <c r="BC25" s="23">
        <v>22</v>
      </c>
      <c r="BD25" s="23">
        <v>7.2966666666666669</v>
      </c>
    </row>
    <row r="26" spans="52:80" x14ac:dyDescent="0.25">
      <c r="AZ26" s="23">
        <v>23</v>
      </c>
      <c r="BA26" s="23">
        <v>1</v>
      </c>
      <c r="BB26" s="23">
        <v>1</v>
      </c>
      <c r="BC26" s="23">
        <v>23</v>
      </c>
      <c r="BD26" s="23">
        <v>7.628333333333333</v>
      </c>
    </row>
    <row r="27" spans="52:80" x14ac:dyDescent="0.25">
      <c r="AZ27" s="23">
        <v>24</v>
      </c>
      <c r="BA27" s="23">
        <v>1</v>
      </c>
      <c r="BB27" s="23">
        <v>1</v>
      </c>
      <c r="BC27" s="23">
        <v>24</v>
      </c>
      <c r="BD27" s="23">
        <v>7.96</v>
      </c>
    </row>
    <row r="28" spans="52:80" x14ac:dyDescent="0.25">
      <c r="AZ28" s="23">
        <v>25</v>
      </c>
      <c r="BA28" s="23">
        <v>1</v>
      </c>
      <c r="BB28" s="23">
        <v>1</v>
      </c>
      <c r="BC28" s="23">
        <v>25</v>
      </c>
      <c r="BD28" s="23">
        <v>8.2916666666666661</v>
      </c>
    </row>
    <row r="29" spans="52:80" x14ac:dyDescent="0.25">
      <c r="AZ29" s="23">
        <v>26</v>
      </c>
      <c r="BA29" s="23">
        <v>1</v>
      </c>
      <c r="BB29" s="23">
        <v>1</v>
      </c>
      <c r="BC29" s="23">
        <v>26</v>
      </c>
      <c r="BD29" s="23">
        <v>8.6233333333333331</v>
      </c>
    </row>
    <row r="30" spans="52:80" x14ac:dyDescent="0.25">
      <c r="AZ30" s="23">
        <v>27</v>
      </c>
      <c r="BA30" s="23">
        <v>1</v>
      </c>
      <c r="BB30" s="23">
        <v>1</v>
      </c>
      <c r="BC30" s="23">
        <v>27</v>
      </c>
      <c r="BD30" s="23">
        <v>8.9550000000000001</v>
      </c>
    </row>
    <row r="31" spans="52:80" x14ac:dyDescent="0.25">
      <c r="AZ31" s="23">
        <v>28</v>
      </c>
      <c r="BA31" s="23">
        <v>1</v>
      </c>
      <c r="BB31" s="23">
        <v>1</v>
      </c>
      <c r="BC31" s="23">
        <v>28</v>
      </c>
      <c r="BD31" s="23">
        <v>9.2866666666666671</v>
      </c>
    </row>
    <row r="32" spans="52:80" x14ac:dyDescent="0.25">
      <c r="AZ32" s="23">
        <v>29</v>
      </c>
      <c r="BA32" s="23">
        <v>1</v>
      </c>
      <c r="BB32" s="23">
        <v>1</v>
      </c>
      <c r="BC32" s="23">
        <v>29</v>
      </c>
      <c r="BD32" s="23">
        <v>9.6183333333333341</v>
      </c>
    </row>
    <row r="33" spans="9:56" x14ac:dyDescent="0.25">
      <c r="AZ33" s="23">
        <v>30</v>
      </c>
      <c r="BA33" s="23">
        <v>1</v>
      </c>
      <c r="BB33" s="23">
        <v>1</v>
      </c>
      <c r="BC33" s="23">
        <v>30</v>
      </c>
      <c r="BD33" s="23">
        <v>9.9499999999999993</v>
      </c>
    </row>
    <row r="34" spans="9:56" x14ac:dyDescent="0.25">
      <c r="AZ34" s="23">
        <v>31</v>
      </c>
      <c r="BA34" s="23">
        <v>1</v>
      </c>
      <c r="BB34" s="23">
        <v>1</v>
      </c>
      <c r="BC34" s="23">
        <v>31</v>
      </c>
      <c r="BD34" s="23">
        <v>10.281666666666666</v>
      </c>
    </row>
    <row r="35" spans="9:56" x14ac:dyDescent="0.25">
      <c r="AZ35" s="23">
        <v>32</v>
      </c>
      <c r="BA35" s="23">
        <v>1</v>
      </c>
      <c r="BB35" s="23">
        <v>1</v>
      </c>
      <c r="BC35" s="23">
        <v>32</v>
      </c>
      <c r="BD35" s="23">
        <v>10.613333333333333</v>
      </c>
    </row>
    <row r="36" spans="9:56" x14ac:dyDescent="0.25">
      <c r="AZ36" s="23">
        <v>33</v>
      </c>
      <c r="BA36" s="23">
        <v>1</v>
      </c>
      <c r="BB36" s="23">
        <v>1</v>
      </c>
      <c r="BC36" s="23">
        <v>33</v>
      </c>
      <c r="BD36" s="23">
        <v>10.945</v>
      </c>
    </row>
    <row r="37" spans="9:56" x14ac:dyDescent="0.25">
      <c r="AZ37" s="23">
        <v>34</v>
      </c>
      <c r="BA37" s="23">
        <v>1</v>
      </c>
      <c r="BB37" s="23">
        <v>1</v>
      </c>
      <c r="BC37" s="23">
        <v>34</v>
      </c>
      <c r="BD37" s="23">
        <v>11.276666666666667</v>
      </c>
    </row>
    <row r="38" spans="9:56" x14ac:dyDescent="0.25">
      <c r="AZ38" s="23">
        <v>35</v>
      </c>
      <c r="BA38" s="23">
        <v>1</v>
      </c>
      <c r="BB38" s="23">
        <v>1</v>
      </c>
      <c r="BC38" s="23">
        <v>35</v>
      </c>
      <c r="BD38" s="23">
        <v>11.608333333333333</v>
      </c>
    </row>
    <row r="39" spans="9:56" x14ac:dyDescent="0.25">
      <c r="AZ39" s="23">
        <v>36</v>
      </c>
      <c r="BA39" s="23">
        <v>1</v>
      </c>
      <c r="BB39" s="23">
        <v>1</v>
      </c>
      <c r="BC39" s="23">
        <v>36</v>
      </c>
      <c r="BD39" s="23">
        <v>11.94</v>
      </c>
    </row>
    <row r="40" spans="9:56" x14ac:dyDescent="0.25">
      <c r="I40" s="10" t="s">
        <v>86</v>
      </c>
      <c r="J40" s="10" t="s">
        <v>87</v>
      </c>
      <c r="K40" s="10" t="s">
        <v>88</v>
      </c>
      <c r="L40" s="10" t="s">
        <v>89</v>
      </c>
      <c r="M40" s="10" t="s">
        <v>90</v>
      </c>
      <c r="AZ40" s="23">
        <v>37</v>
      </c>
      <c r="BA40" s="23">
        <v>1</v>
      </c>
      <c r="BB40" s="23">
        <v>1</v>
      </c>
      <c r="BC40" s="23">
        <v>37</v>
      </c>
      <c r="BD40" s="23">
        <v>12.271666666666667</v>
      </c>
    </row>
    <row r="41" spans="9:56" x14ac:dyDescent="0.25">
      <c r="I41" s="9">
        <v>1</v>
      </c>
      <c r="J41" s="7">
        <v>1</v>
      </c>
      <c r="K41" s="7">
        <v>0</v>
      </c>
      <c r="L41" s="7">
        <v>1</v>
      </c>
      <c r="M41" s="7">
        <v>1</v>
      </c>
      <c r="AZ41" s="23">
        <v>38</v>
      </c>
      <c r="BA41" s="23">
        <v>1</v>
      </c>
      <c r="BB41" s="23">
        <v>1</v>
      </c>
      <c r="BC41" s="23">
        <v>38</v>
      </c>
      <c r="BD41" s="23">
        <v>12.603333333333333</v>
      </c>
    </row>
    <row r="42" spans="9:56" x14ac:dyDescent="0.25">
      <c r="I42" s="9">
        <v>2</v>
      </c>
      <c r="J42" s="7">
        <v>0.96666666666666667</v>
      </c>
      <c r="K42" s="7">
        <v>0.18102033471939249</v>
      </c>
      <c r="L42" s="7">
        <v>0</v>
      </c>
      <c r="M42" s="7">
        <v>1</v>
      </c>
      <c r="AZ42" s="23">
        <v>39</v>
      </c>
      <c r="BA42" s="23">
        <v>1</v>
      </c>
      <c r="BB42" s="23">
        <v>1</v>
      </c>
      <c r="BC42" s="23">
        <v>39</v>
      </c>
      <c r="BD42" s="23">
        <v>12.935</v>
      </c>
    </row>
    <row r="43" spans="9:56" x14ac:dyDescent="0.25">
      <c r="I43" s="9">
        <v>3</v>
      </c>
      <c r="J43" s="7">
        <v>0.75</v>
      </c>
      <c r="K43" s="7">
        <v>0.43666688230468648</v>
      </c>
      <c r="L43" s="7">
        <v>0</v>
      </c>
      <c r="M43" s="7">
        <v>1</v>
      </c>
      <c r="AZ43" s="23">
        <v>40</v>
      </c>
      <c r="BA43" s="23">
        <v>1</v>
      </c>
      <c r="BB43" s="23">
        <v>1</v>
      </c>
      <c r="BC43" s="23">
        <v>40</v>
      </c>
      <c r="BD43" s="23">
        <v>13.266666666666666</v>
      </c>
    </row>
    <row r="44" spans="9:56" x14ac:dyDescent="0.25">
      <c r="I44" s="9">
        <v>4</v>
      </c>
      <c r="J44" s="7">
        <v>0.43333333333333335</v>
      </c>
      <c r="K44" s="7">
        <v>0.49971743428090792</v>
      </c>
      <c r="L44" s="7">
        <v>0</v>
      </c>
      <c r="M44" s="7">
        <v>1</v>
      </c>
      <c r="AZ44" s="23">
        <v>41</v>
      </c>
      <c r="BA44" s="23">
        <v>1</v>
      </c>
      <c r="BB44" s="23">
        <v>1</v>
      </c>
      <c r="BC44" s="23">
        <v>41</v>
      </c>
      <c r="BD44" s="23">
        <v>13.598333333333333</v>
      </c>
    </row>
    <row r="45" spans="9:56" x14ac:dyDescent="0.25">
      <c r="I45" s="9">
        <v>5</v>
      </c>
      <c r="J45" s="7">
        <v>0.13333333333333333</v>
      </c>
      <c r="K45" s="7">
        <v>0.34280333180088168</v>
      </c>
      <c r="L45" s="7">
        <v>0</v>
      </c>
      <c r="M45" s="7">
        <v>1</v>
      </c>
      <c r="AZ45" s="23">
        <v>42</v>
      </c>
      <c r="BA45" s="23">
        <v>1</v>
      </c>
      <c r="BB45" s="23">
        <v>1</v>
      </c>
      <c r="BC45" s="23">
        <v>42</v>
      </c>
      <c r="BD45" s="23">
        <v>13.93</v>
      </c>
    </row>
    <row r="46" spans="9:56" x14ac:dyDescent="0.25">
      <c r="I46" s="9">
        <v>6</v>
      </c>
      <c r="J46" s="7">
        <v>3.3333333333333333E-2</v>
      </c>
      <c r="K46" s="7">
        <v>0.18102033471939241</v>
      </c>
      <c r="L46" s="7">
        <v>0</v>
      </c>
      <c r="M46" s="7">
        <v>1</v>
      </c>
      <c r="AZ46" s="23">
        <v>43</v>
      </c>
      <c r="BA46" s="23">
        <v>1</v>
      </c>
      <c r="BB46" s="23">
        <v>1</v>
      </c>
      <c r="BC46" s="23">
        <v>43</v>
      </c>
      <c r="BD46" s="23">
        <v>14.261666666666667</v>
      </c>
    </row>
    <row r="47" spans="9:56" x14ac:dyDescent="0.25">
      <c r="I47" s="9">
        <v>7</v>
      </c>
      <c r="J47" s="7">
        <v>0</v>
      </c>
      <c r="K47" s="7">
        <v>0</v>
      </c>
      <c r="L47" s="7">
        <v>0</v>
      </c>
      <c r="M47" s="7">
        <v>0</v>
      </c>
      <c r="AZ47" s="23">
        <v>44</v>
      </c>
      <c r="BA47" s="23">
        <v>1</v>
      </c>
      <c r="BB47" s="23">
        <v>1</v>
      </c>
      <c r="BC47" s="23">
        <v>44</v>
      </c>
      <c r="BD47" s="23">
        <v>14.593333333333334</v>
      </c>
    </row>
    <row r="48" spans="9:56" x14ac:dyDescent="0.25">
      <c r="I48" s="9">
        <v>8</v>
      </c>
      <c r="J48" s="7">
        <v>0</v>
      </c>
      <c r="K48" s="7">
        <v>0</v>
      </c>
      <c r="L48" s="7">
        <v>0</v>
      </c>
      <c r="M48" s="7">
        <v>0</v>
      </c>
      <c r="AZ48" s="23">
        <v>45</v>
      </c>
      <c r="BA48" s="23">
        <v>1</v>
      </c>
      <c r="BB48" s="23">
        <v>1</v>
      </c>
      <c r="BC48" s="23">
        <v>45</v>
      </c>
      <c r="BD48" s="23">
        <v>14.925000000000001</v>
      </c>
    </row>
    <row r="49" spans="9:56" x14ac:dyDescent="0.25">
      <c r="I49" s="9">
        <v>9</v>
      </c>
      <c r="J49" s="7">
        <v>0</v>
      </c>
      <c r="K49" s="7">
        <v>0</v>
      </c>
      <c r="L49" s="7">
        <v>0</v>
      </c>
      <c r="M49" s="7">
        <v>0</v>
      </c>
      <c r="AZ49" s="23">
        <v>46</v>
      </c>
      <c r="BA49" s="23">
        <v>1</v>
      </c>
      <c r="BB49" s="23">
        <v>1</v>
      </c>
      <c r="BC49" s="23">
        <v>46</v>
      </c>
      <c r="BD49" s="23">
        <v>15.256666666666666</v>
      </c>
    </row>
    <row r="50" spans="9:56" x14ac:dyDescent="0.25">
      <c r="I50" s="9">
        <v>10</v>
      </c>
      <c r="J50" s="7">
        <v>0</v>
      </c>
      <c r="K50" s="7">
        <v>0</v>
      </c>
      <c r="L50" s="7">
        <v>0</v>
      </c>
      <c r="M50" s="7">
        <v>0</v>
      </c>
      <c r="AZ50" s="23">
        <v>47</v>
      </c>
      <c r="BA50" s="23">
        <v>1</v>
      </c>
      <c r="BB50" s="23">
        <v>1</v>
      </c>
      <c r="BC50" s="23">
        <v>47</v>
      </c>
      <c r="BD50" s="23">
        <v>15.588333333333333</v>
      </c>
    </row>
    <row r="51" spans="9:56" x14ac:dyDescent="0.25">
      <c r="AZ51" s="23">
        <v>48</v>
      </c>
      <c r="BA51" s="23">
        <v>1</v>
      </c>
      <c r="BB51" s="23">
        <v>1</v>
      </c>
      <c r="BC51" s="23">
        <v>48</v>
      </c>
      <c r="BD51" s="23">
        <v>15.92</v>
      </c>
    </row>
    <row r="52" spans="9:56" x14ac:dyDescent="0.25">
      <c r="AZ52" s="23">
        <v>49</v>
      </c>
      <c r="BA52" s="23">
        <v>1</v>
      </c>
      <c r="BB52" s="23">
        <v>1</v>
      </c>
      <c r="BC52" s="23">
        <v>49</v>
      </c>
      <c r="BD52" s="23">
        <v>16.251666666666665</v>
      </c>
    </row>
    <row r="53" spans="9:56" x14ac:dyDescent="0.25">
      <c r="AZ53" s="23">
        <v>50</v>
      </c>
      <c r="BA53" s="23">
        <v>1</v>
      </c>
      <c r="BB53" s="23">
        <v>1</v>
      </c>
      <c r="BC53" s="23">
        <v>50</v>
      </c>
      <c r="BD53" s="23">
        <v>16.583333333333332</v>
      </c>
    </row>
    <row r="54" spans="9:56" x14ac:dyDescent="0.25">
      <c r="AZ54" s="23">
        <v>51</v>
      </c>
      <c r="BA54" s="23">
        <v>1</v>
      </c>
      <c r="BB54" s="23">
        <v>1</v>
      </c>
      <c r="BC54" s="23">
        <v>51</v>
      </c>
      <c r="BD54" s="23">
        <v>16.914999999999999</v>
      </c>
    </row>
    <row r="55" spans="9:56" x14ac:dyDescent="0.25">
      <c r="AZ55" s="23">
        <v>52</v>
      </c>
      <c r="BA55" s="23">
        <v>1</v>
      </c>
      <c r="BB55" s="23">
        <v>1</v>
      </c>
      <c r="BC55" s="23">
        <v>52</v>
      </c>
      <c r="BD55" s="23">
        <v>17.246666666666666</v>
      </c>
    </row>
    <row r="56" spans="9:56" x14ac:dyDescent="0.25">
      <c r="AZ56" s="23">
        <v>53</v>
      </c>
      <c r="BA56" s="23">
        <v>1</v>
      </c>
      <c r="BB56" s="23">
        <v>1</v>
      </c>
      <c r="BC56" s="23">
        <v>53</v>
      </c>
      <c r="BD56" s="23">
        <v>17.578333333333333</v>
      </c>
    </row>
    <row r="57" spans="9:56" x14ac:dyDescent="0.25">
      <c r="AZ57" s="23">
        <v>54</v>
      </c>
      <c r="BA57" s="23">
        <v>1</v>
      </c>
      <c r="BB57" s="23">
        <v>1</v>
      </c>
      <c r="BC57" s="23">
        <v>54</v>
      </c>
      <c r="BD57" s="23">
        <v>17.91</v>
      </c>
    </row>
    <row r="58" spans="9:56" x14ac:dyDescent="0.25">
      <c r="AZ58" s="23">
        <v>55</v>
      </c>
      <c r="BA58" s="23">
        <v>1</v>
      </c>
      <c r="BB58" s="23">
        <v>1</v>
      </c>
      <c r="BC58" s="23">
        <v>55</v>
      </c>
      <c r="BD58" s="23">
        <v>18.241666666666667</v>
      </c>
    </row>
    <row r="59" spans="9:56" x14ac:dyDescent="0.25">
      <c r="AZ59" s="23">
        <v>56</v>
      </c>
      <c r="BA59" s="23">
        <v>1</v>
      </c>
      <c r="BB59" s="23">
        <v>1</v>
      </c>
      <c r="BC59" s="23">
        <v>56</v>
      </c>
      <c r="BD59" s="23">
        <v>18.573333333333334</v>
      </c>
    </row>
    <row r="60" spans="9:56" x14ac:dyDescent="0.25">
      <c r="AZ60" s="23">
        <v>57</v>
      </c>
      <c r="BA60" s="23">
        <v>1</v>
      </c>
      <c r="BB60" s="23">
        <v>1</v>
      </c>
      <c r="BC60" s="23">
        <v>57</v>
      </c>
      <c r="BD60" s="23">
        <v>18.905000000000001</v>
      </c>
    </row>
    <row r="61" spans="9:56" x14ac:dyDescent="0.25">
      <c r="AZ61" s="23">
        <v>58</v>
      </c>
      <c r="BA61" s="23">
        <v>1</v>
      </c>
      <c r="BB61" s="23">
        <v>1</v>
      </c>
      <c r="BC61" s="23">
        <v>58</v>
      </c>
      <c r="BD61" s="23">
        <v>19.236666666666668</v>
      </c>
    </row>
    <row r="62" spans="9:56" x14ac:dyDescent="0.25">
      <c r="AZ62" s="23">
        <v>59</v>
      </c>
      <c r="BA62" s="23">
        <v>1</v>
      </c>
      <c r="BB62" s="23">
        <v>1</v>
      </c>
      <c r="BC62" s="23">
        <v>59</v>
      </c>
      <c r="BD62" s="23">
        <v>19.568333333333332</v>
      </c>
    </row>
    <row r="63" spans="9:56" x14ac:dyDescent="0.25">
      <c r="AZ63" s="23">
        <v>60</v>
      </c>
      <c r="BA63" s="23">
        <v>1</v>
      </c>
      <c r="BB63" s="23">
        <v>1</v>
      </c>
      <c r="BC63" s="23">
        <v>60</v>
      </c>
      <c r="BD63" s="23">
        <v>19.899999999999999</v>
      </c>
    </row>
    <row r="64" spans="9:56" x14ac:dyDescent="0.25">
      <c r="AZ64" s="24">
        <v>61</v>
      </c>
      <c r="BA64" s="24">
        <v>1</v>
      </c>
      <c r="BB64" s="24">
        <v>1</v>
      </c>
      <c r="BC64" s="24">
        <v>61</v>
      </c>
      <c r="BD64" s="24">
        <v>20.231666666666666</v>
      </c>
    </row>
    <row r="65" spans="52:56" x14ac:dyDescent="0.25">
      <c r="AZ65" s="24">
        <v>62</v>
      </c>
      <c r="BA65" s="24">
        <v>1</v>
      </c>
      <c r="BB65" s="24">
        <v>1</v>
      </c>
      <c r="BC65" s="24">
        <v>62</v>
      </c>
      <c r="BD65" s="24">
        <v>20.563333333333333</v>
      </c>
    </row>
    <row r="66" spans="52:56" x14ac:dyDescent="0.25">
      <c r="AZ66" s="24">
        <v>63</v>
      </c>
      <c r="BA66" s="24">
        <v>1</v>
      </c>
      <c r="BB66" s="24">
        <v>1</v>
      </c>
      <c r="BC66" s="24">
        <v>63</v>
      </c>
      <c r="BD66" s="24">
        <v>20.895</v>
      </c>
    </row>
    <row r="67" spans="52:56" x14ac:dyDescent="0.25">
      <c r="AZ67" s="24">
        <v>64</v>
      </c>
      <c r="BA67" s="24">
        <v>1</v>
      </c>
      <c r="BB67" s="24">
        <v>1</v>
      </c>
      <c r="BC67" s="24">
        <v>64</v>
      </c>
      <c r="BD67" s="24">
        <v>21.226666666666667</v>
      </c>
    </row>
    <row r="68" spans="52:56" x14ac:dyDescent="0.25">
      <c r="AZ68" s="24">
        <v>65</v>
      </c>
      <c r="BA68" s="24">
        <v>1</v>
      </c>
      <c r="BB68" s="24">
        <v>1</v>
      </c>
      <c r="BC68" s="24">
        <v>65</v>
      </c>
      <c r="BD68" s="24">
        <v>21.558333333333334</v>
      </c>
    </row>
    <row r="69" spans="52:56" x14ac:dyDescent="0.25">
      <c r="AZ69" s="24">
        <v>66</v>
      </c>
      <c r="BA69" s="24">
        <v>1</v>
      </c>
      <c r="BB69" s="24">
        <v>1</v>
      </c>
      <c r="BC69" s="24">
        <v>66</v>
      </c>
      <c r="BD69" s="24">
        <v>21.89</v>
      </c>
    </row>
    <row r="70" spans="52:56" x14ac:dyDescent="0.25">
      <c r="AZ70" s="24">
        <v>67</v>
      </c>
      <c r="BA70" s="24">
        <v>1</v>
      </c>
      <c r="BB70" s="24">
        <v>1</v>
      </c>
      <c r="BC70" s="24">
        <v>67</v>
      </c>
      <c r="BD70" s="24">
        <v>22.221666666666668</v>
      </c>
    </row>
    <row r="71" spans="52:56" x14ac:dyDescent="0.25">
      <c r="AZ71" s="24">
        <v>68</v>
      </c>
      <c r="BA71" s="24">
        <v>1</v>
      </c>
      <c r="BB71" s="24">
        <v>1</v>
      </c>
      <c r="BC71" s="24">
        <v>68</v>
      </c>
      <c r="BD71" s="24">
        <v>22.553333333333335</v>
      </c>
    </row>
    <row r="72" spans="52:56" x14ac:dyDescent="0.25">
      <c r="AZ72" s="24">
        <v>69</v>
      </c>
      <c r="BA72" s="24">
        <v>1</v>
      </c>
      <c r="BB72" s="24">
        <v>1</v>
      </c>
      <c r="BC72" s="24">
        <v>69</v>
      </c>
      <c r="BD72" s="24">
        <v>22.885000000000002</v>
      </c>
    </row>
    <row r="73" spans="52:56" x14ac:dyDescent="0.25">
      <c r="AZ73" s="24">
        <v>70</v>
      </c>
      <c r="BA73" s="24">
        <v>1</v>
      </c>
      <c r="BB73" s="24">
        <v>1</v>
      </c>
      <c r="BC73" s="24">
        <v>70</v>
      </c>
      <c r="BD73" s="24">
        <v>23.216666666666665</v>
      </c>
    </row>
    <row r="74" spans="52:56" x14ac:dyDescent="0.25">
      <c r="AZ74" s="24">
        <v>71</v>
      </c>
      <c r="BA74" s="24">
        <v>1</v>
      </c>
      <c r="BB74" s="24">
        <v>1</v>
      </c>
      <c r="BC74" s="24">
        <v>71</v>
      </c>
      <c r="BD74" s="24">
        <v>23.548333333333332</v>
      </c>
    </row>
    <row r="75" spans="52:56" x14ac:dyDescent="0.25">
      <c r="AZ75" s="24">
        <v>72</v>
      </c>
      <c r="BA75" s="24">
        <v>1</v>
      </c>
      <c r="BB75" s="24">
        <v>1</v>
      </c>
      <c r="BC75" s="24">
        <v>72</v>
      </c>
      <c r="BD75" s="24">
        <v>23.88</v>
      </c>
    </row>
    <row r="76" spans="52:56" x14ac:dyDescent="0.25">
      <c r="AZ76" s="24">
        <v>73</v>
      </c>
      <c r="BA76" s="24">
        <v>1</v>
      </c>
      <c r="BB76" s="24">
        <v>1</v>
      </c>
      <c r="BC76" s="24">
        <v>73</v>
      </c>
      <c r="BD76" s="24">
        <v>24.211666666666666</v>
      </c>
    </row>
    <row r="77" spans="52:56" x14ac:dyDescent="0.25">
      <c r="AZ77" s="24">
        <v>74</v>
      </c>
      <c r="BA77" s="24">
        <v>1</v>
      </c>
      <c r="BB77" s="24">
        <v>1</v>
      </c>
      <c r="BC77" s="24">
        <v>74</v>
      </c>
      <c r="BD77" s="24">
        <v>24.543333333333333</v>
      </c>
    </row>
    <row r="78" spans="52:56" x14ac:dyDescent="0.25">
      <c r="AZ78" s="24">
        <v>75</v>
      </c>
      <c r="BA78" s="24">
        <v>1</v>
      </c>
      <c r="BB78" s="24">
        <v>1</v>
      </c>
      <c r="BC78" s="24">
        <v>75</v>
      </c>
      <c r="BD78" s="24">
        <v>24.875</v>
      </c>
    </row>
    <row r="79" spans="52:56" x14ac:dyDescent="0.25">
      <c r="AZ79" s="24">
        <v>76</v>
      </c>
      <c r="BA79" s="24">
        <v>1</v>
      </c>
      <c r="BB79" s="24">
        <v>1</v>
      </c>
      <c r="BC79" s="24">
        <v>76</v>
      </c>
      <c r="BD79" s="24">
        <v>25.206666666666667</v>
      </c>
    </row>
    <row r="80" spans="52:56" x14ac:dyDescent="0.25">
      <c r="AZ80" s="24">
        <v>77</v>
      </c>
      <c r="BA80" s="24">
        <v>1</v>
      </c>
      <c r="BB80" s="24">
        <v>1</v>
      </c>
      <c r="BC80" s="24">
        <v>77</v>
      </c>
      <c r="BD80" s="24">
        <v>25.538333333333334</v>
      </c>
    </row>
    <row r="81" spans="52:56" x14ac:dyDescent="0.25">
      <c r="AZ81" s="24">
        <v>78</v>
      </c>
      <c r="BA81" s="24">
        <v>1</v>
      </c>
      <c r="BB81" s="24">
        <v>1</v>
      </c>
      <c r="BC81" s="24">
        <v>78</v>
      </c>
      <c r="BD81" s="24">
        <v>25.87</v>
      </c>
    </row>
    <row r="82" spans="52:56" x14ac:dyDescent="0.25">
      <c r="AZ82" s="24">
        <v>79</v>
      </c>
      <c r="BA82" s="24">
        <v>1</v>
      </c>
      <c r="BB82" s="24">
        <v>1</v>
      </c>
      <c r="BC82" s="24">
        <v>79</v>
      </c>
      <c r="BD82" s="24">
        <v>26.201666666666668</v>
      </c>
    </row>
    <row r="83" spans="52:56" x14ac:dyDescent="0.25">
      <c r="AZ83" s="24">
        <v>80</v>
      </c>
      <c r="BA83" s="24">
        <v>1</v>
      </c>
      <c r="BB83" s="24">
        <v>1</v>
      </c>
      <c r="BC83" s="24">
        <v>80</v>
      </c>
      <c r="BD83" s="24">
        <v>26.533333333333331</v>
      </c>
    </row>
    <row r="84" spans="52:56" x14ac:dyDescent="0.25">
      <c r="AZ84" s="24">
        <v>81</v>
      </c>
      <c r="BA84" s="24">
        <v>1</v>
      </c>
      <c r="BB84" s="24">
        <v>1</v>
      </c>
      <c r="BC84" s="24">
        <v>81</v>
      </c>
      <c r="BD84" s="24">
        <v>26.864999999999998</v>
      </c>
    </row>
    <row r="85" spans="52:56" x14ac:dyDescent="0.25">
      <c r="AZ85" s="24">
        <v>82</v>
      </c>
      <c r="BA85" s="24">
        <v>1</v>
      </c>
      <c r="BB85" s="24">
        <v>1</v>
      </c>
      <c r="BC85" s="24">
        <v>82</v>
      </c>
      <c r="BD85" s="24">
        <v>27.196666666666665</v>
      </c>
    </row>
    <row r="86" spans="52:56" x14ac:dyDescent="0.25">
      <c r="AZ86" s="24">
        <v>83</v>
      </c>
      <c r="BA86" s="24">
        <v>1</v>
      </c>
      <c r="BB86" s="24">
        <v>1</v>
      </c>
      <c r="BC86" s="24">
        <v>83</v>
      </c>
      <c r="BD86" s="24">
        <v>27.528333333333332</v>
      </c>
    </row>
    <row r="87" spans="52:56" x14ac:dyDescent="0.25">
      <c r="AZ87" s="24">
        <v>84</v>
      </c>
      <c r="BA87" s="24">
        <v>1</v>
      </c>
      <c r="BB87" s="24">
        <v>1</v>
      </c>
      <c r="BC87" s="24">
        <v>84</v>
      </c>
      <c r="BD87" s="24">
        <v>27.86</v>
      </c>
    </row>
    <row r="88" spans="52:56" x14ac:dyDescent="0.25">
      <c r="AZ88" s="24">
        <v>85</v>
      </c>
      <c r="BA88" s="24">
        <v>1</v>
      </c>
      <c r="BB88" s="24">
        <v>1</v>
      </c>
      <c r="BC88" s="24">
        <v>85</v>
      </c>
      <c r="BD88" s="24">
        <v>28.191666666666666</v>
      </c>
    </row>
    <row r="89" spans="52:56" x14ac:dyDescent="0.25">
      <c r="AZ89" s="24">
        <v>86</v>
      </c>
      <c r="BA89" s="24">
        <v>1</v>
      </c>
      <c r="BB89" s="24">
        <v>1</v>
      </c>
      <c r="BC89" s="24">
        <v>86</v>
      </c>
      <c r="BD89" s="24">
        <v>28.523333333333333</v>
      </c>
    </row>
    <row r="90" spans="52:56" x14ac:dyDescent="0.25">
      <c r="AZ90" s="24">
        <v>87</v>
      </c>
      <c r="BA90" s="24">
        <v>1</v>
      </c>
      <c r="BB90" s="24">
        <v>1</v>
      </c>
      <c r="BC90" s="24">
        <v>87</v>
      </c>
      <c r="BD90" s="24">
        <v>28.855</v>
      </c>
    </row>
    <row r="91" spans="52:56" x14ac:dyDescent="0.25">
      <c r="AZ91" s="24">
        <v>88</v>
      </c>
      <c r="BA91" s="24">
        <v>0.94117647058823528</v>
      </c>
      <c r="BB91" s="24">
        <v>1</v>
      </c>
      <c r="BC91" s="24">
        <v>88</v>
      </c>
      <c r="BD91" s="24">
        <v>29.186666666666667</v>
      </c>
    </row>
    <row r="92" spans="52:56" x14ac:dyDescent="0.25">
      <c r="AZ92" s="24">
        <v>89</v>
      </c>
      <c r="BA92" s="24">
        <v>0.94117647058823528</v>
      </c>
      <c r="BB92" s="24">
        <v>1</v>
      </c>
      <c r="BC92" s="24">
        <v>89</v>
      </c>
      <c r="BD92" s="24">
        <v>29.518333333333334</v>
      </c>
    </row>
    <row r="93" spans="52:56" x14ac:dyDescent="0.25">
      <c r="AZ93" s="24">
        <v>90</v>
      </c>
      <c r="BA93" s="24">
        <v>0.94117647058823528</v>
      </c>
      <c r="BB93" s="24">
        <v>1</v>
      </c>
      <c r="BC93" s="24">
        <v>90</v>
      </c>
      <c r="BD93" s="24">
        <v>29.85</v>
      </c>
    </row>
    <row r="94" spans="52:56" x14ac:dyDescent="0.25">
      <c r="AZ94" s="24">
        <v>91</v>
      </c>
      <c r="BA94" s="24">
        <v>0.94117647058823528</v>
      </c>
      <c r="BB94" s="24">
        <v>1</v>
      </c>
      <c r="BC94" s="24">
        <v>91</v>
      </c>
      <c r="BD94" s="24">
        <v>30.181666666666665</v>
      </c>
    </row>
    <row r="95" spans="52:56" x14ac:dyDescent="0.25">
      <c r="AZ95" s="24">
        <v>92</v>
      </c>
      <c r="BA95" s="24">
        <v>0.94117647058823528</v>
      </c>
      <c r="BB95" s="24">
        <v>1</v>
      </c>
      <c r="BC95" s="24">
        <v>92</v>
      </c>
      <c r="BD95" s="24">
        <v>30.513333333333332</v>
      </c>
    </row>
    <row r="96" spans="52:56" x14ac:dyDescent="0.25">
      <c r="AZ96" s="24">
        <v>93</v>
      </c>
      <c r="BA96" s="24">
        <v>0.94117647058823528</v>
      </c>
      <c r="BB96" s="24">
        <v>1</v>
      </c>
      <c r="BC96" s="24">
        <v>93</v>
      </c>
      <c r="BD96" s="24">
        <v>30.844999999999999</v>
      </c>
    </row>
    <row r="97" spans="52:56" x14ac:dyDescent="0.25">
      <c r="AZ97" s="24">
        <v>94</v>
      </c>
      <c r="BA97" s="24">
        <v>0.94117647058823528</v>
      </c>
      <c r="BB97" s="24">
        <v>1</v>
      </c>
      <c r="BC97" s="24">
        <v>94</v>
      </c>
      <c r="BD97" s="24">
        <v>31.176666666666666</v>
      </c>
    </row>
    <row r="98" spans="52:56" x14ac:dyDescent="0.25">
      <c r="AZ98" s="24">
        <v>95</v>
      </c>
      <c r="BA98" s="24">
        <v>0.94117647058823528</v>
      </c>
      <c r="BB98" s="24">
        <v>1</v>
      </c>
      <c r="BC98" s="24">
        <v>95</v>
      </c>
      <c r="BD98" s="24">
        <v>31.508333333333333</v>
      </c>
    </row>
    <row r="99" spans="52:56" x14ac:dyDescent="0.25">
      <c r="AZ99" s="24">
        <v>96</v>
      </c>
      <c r="BA99" s="24">
        <v>0.94117647058823528</v>
      </c>
      <c r="BB99" s="24">
        <v>1</v>
      </c>
      <c r="BC99" s="24">
        <v>96</v>
      </c>
      <c r="BD99" s="24">
        <v>31.84</v>
      </c>
    </row>
    <row r="100" spans="52:56" x14ac:dyDescent="0.25">
      <c r="AZ100" s="24">
        <v>97</v>
      </c>
      <c r="BA100" s="24">
        <v>0.94117647058823528</v>
      </c>
      <c r="BB100" s="24">
        <v>1</v>
      </c>
      <c r="BC100" s="24">
        <v>97</v>
      </c>
      <c r="BD100" s="24">
        <v>32.171666666666667</v>
      </c>
    </row>
    <row r="101" spans="52:56" x14ac:dyDescent="0.25">
      <c r="AZ101" s="24">
        <v>98</v>
      </c>
      <c r="BA101" s="24">
        <v>0.94117647058823528</v>
      </c>
      <c r="BB101" s="24">
        <v>1</v>
      </c>
      <c r="BC101" s="24">
        <v>98</v>
      </c>
      <c r="BD101" s="24">
        <v>32.50333333333333</v>
      </c>
    </row>
    <row r="102" spans="52:56" x14ac:dyDescent="0.25">
      <c r="AZ102" s="24">
        <v>99</v>
      </c>
      <c r="BA102" s="24">
        <v>0.94117647058823528</v>
      </c>
      <c r="BB102" s="24">
        <v>1</v>
      </c>
      <c r="BC102" s="24">
        <v>99</v>
      </c>
      <c r="BD102" s="24">
        <v>32.835000000000001</v>
      </c>
    </row>
    <row r="103" spans="52:56" x14ac:dyDescent="0.25">
      <c r="AZ103" s="24">
        <v>100</v>
      </c>
      <c r="BA103" s="24">
        <v>0.94117647058823528</v>
      </c>
      <c r="BB103" s="24">
        <v>1</v>
      </c>
      <c r="BC103" s="24">
        <v>100</v>
      </c>
      <c r="BD103" s="24">
        <v>33.166666666666664</v>
      </c>
    </row>
    <row r="104" spans="52:56" x14ac:dyDescent="0.25">
      <c r="AZ104" s="24">
        <v>101</v>
      </c>
      <c r="BA104" s="24">
        <v>0.94117647058823528</v>
      </c>
      <c r="BB104" s="24">
        <v>1</v>
      </c>
      <c r="BC104" s="24">
        <v>101</v>
      </c>
      <c r="BD104" s="24">
        <v>33.498333333333335</v>
      </c>
    </row>
    <row r="105" spans="52:56" x14ac:dyDescent="0.25">
      <c r="AZ105" s="24">
        <v>102</v>
      </c>
      <c r="BA105" s="24">
        <v>0.94117647058823528</v>
      </c>
      <c r="BB105" s="24">
        <v>1</v>
      </c>
      <c r="BC105" s="24">
        <v>102</v>
      </c>
      <c r="BD105" s="24">
        <v>33.83</v>
      </c>
    </row>
    <row r="106" spans="52:56" x14ac:dyDescent="0.25">
      <c r="AZ106" s="24">
        <v>103</v>
      </c>
      <c r="BA106" s="24">
        <v>0.94117647058823528</v>
      </c>
      <c r="BB106" s="24">
        <v>1</v>
      </c>
      <c r="BC106" s="24">
        <v>103</v>
      </c>
      <c r="BD106" s="24">
        <v>34.161666666666669</v>
      </c>
    </row>
    <row r="107" spans="52:56" x14ac:dyDescent="0.25">
      <c r="AZ107" s="24">
        <v>104</v>
      </c>
      <c r="BA107" s="24">
        <v>0.94117647058823528</v>
      </c>
      <c r="BB107" s="24">
        <v>1</v>
      </c>
      <c r="BC107" s="24">
        <v>104</v>
      </c>
      <c r="BD107" s="24">
        <v>34.493333333333332</v>
      </c>
    </row>
    <row r="108" spans="52:56" x14ac:dyDescent="0.25">
      <c r="AZ108" s="24">
        <v>105</v>
      </c>
      <c r="BA108" s="24">
        <v>0.94117647058823528</v>
      </c>
      <c r="BB108" s="24">
        <v>1</v>
      </c>
      <c r="BC108" s="24">
        <v>105</v>
      </c>
      <c r="BD108" s="24">
        <v>34.825000000000003</v>
      </c>
    </row>
    <row r="109" spans="52:56" x14ac:dyDescent="0.25">
      <c r="AZ109" s="24">
        <v>106</v>
      </c>
      <c r="BA109" s="24">
        <v>0.94117647058823528</v>
      </c>
      <c r="BB109" s="24">
        <v>1</v>
      </c>
      <c r="BC109" s="24">
        <v>106</v>
      </c>
      <c r="BD109" s="24">
        <v>35.156666666666666</v>
      </c>
    </row>
    <row r="110" spans="52:56" x14ac:dyDescent="0.25">
      <c r="AZ110" s="24">
        <v>107</v>
      </c>
      <c r="BA110" s="24">
        <v>0.94117647058823528</v>
      </c>
      <c r="BB110" s="24">
        <v>1</v>
      </c>
      <c r="BC110" s="24">
        <v>107</v>
      </c>
      <c r="BD110" s="24">
        <v>35.48833333333333</v>
      </c>
    </row>
    <row r="111" spans="52:56" x14ac:dyDescent="0.25">
      <c r="AZ111" s="24">
        <v>108</v>
      </c>
      <c r="BA111" s="24">
        <v>0.94117647058823528</v>
      </c>
      <c r="BB111" s="24">
        <v>1</v>
      </c>
      <c r="BC111" s="24">
        <v>108</v>
      </c>
      <c r="BD111" s="24">
        <v>35.82</v>
      </c>
    </row>
    <row r="112" spans="52:56" x14ac:dyDescent="0.25">
      <c r="AZ112" s="24">
        <v>109</v>
      </c>
      <c r="BA112" s="24">
        <v>0.94117647058823528</v>
      </c>
      <c r="BB112" s="24">
        <v>0</v>
      </c>
      <c r="BC112" s="24">
        <v>108</v>
      </c>
      <c r="BD112" s="24">
        <v>36.151666666666664</v>
      </c>
    </row>
    <row r="113" spans="52:56" x14ac:dyDescent="0.25">
      <c r="AZ113" s="24">
        <v>110</v>
      </c>
      <c r="BA113" s="24">
        <v>0.94117647058823528</v>
      </c>
      <c r="BB113" s="24">
        <v>1</v>
      </c>
      <c r="BC113" s="24">
        <v>109</v>
      </c>
      <c r="BD113" s="24">
        <v>36.483333333333334</v>
      </c>
    </row>
    <row r="114" spans="52:56" x14ac:dyDescent="0.25">
      <c r="AZ114" s="24">
        <v>111</v>
      </c>
      <c r="BA114" s="24">
        <v>0.94117647058823528</v>
      </c>
      <c r="BB114" s="24">
        <v>1</v>
      </c>
      <c r="BC114" s="24">
        <v>110</v>
      </c>
      <c r="BD114" s="24">
        <v>36.814999999999998</v>
      </c>
    </row>
    <row r="115" spans="52:56" x14ac:dyDescent="0.25">
      <c r="AZ115" s="24">
        <v>112</v>
      </c>
      <c r="BA115" s="24">
        <v>0.94117647058823528</v>
      </c>
      <c r="BB115" s="24">
        <v>0</v>
      </c>
      <c r="BC115" s="24">
        <v>110</v>
      </c>
      <c r="BD115" s="24">
        <v>37.146666666666668</v>
      </c>
    </row>
    <row r="116" spans="52:56" x14ac:dyDescent="0.25">
      <c r="AZ116" s="24">
        <v>113</v>
      </c>
      <c r="BA116" s="24">
        <v>0.94117647058823528</v>
      </c>
      <c r="BB116" s="24">
        <v>1</v>
      </c>
      <c r="BC116" s="24">
        <v>111</v>
      </c>
      <c r="BD116" s="24">
        <v>37.478333333333332</v>
      </c>
    </row>
    <row r="117" spans="52:56" x14ac:dyDescent="0.25">
      <c r="AZ117" s="24">
        <v>114</v>
      </c>
      <c r="BA117" s="24">
        <v>0.94117647058823528</v>
      </c>
      <c r="BB117" s="24">
        <v>1</v>
      </c>
      <c r="BC117" s="24">
        <v>112</v>
      </c>
      <c r="BD117" s="24">
        <v>37.81</v>
      </c>
    </row>
    <row r="118" spans="52:56" x14ac:dyDescent="0.25">
      <c r="AZ118" s="24">
        <v>115</v>
      </c>
      <c r="BA118" s="24">
        <v>0.88235294117647056</v>
      </c>
      <c r="BB118" s="24">
        <v>1</v>
      </c>
      <c r="BC118" s="24">
        <v>113</v>
      </c>
      <c r="BD118" s="24">
        <v>38.141666666666666</v>
      </c>
    </row>
    <row r="119" spans="52:56" x14ac:dyDescent="0.25">
      <c r="AZ119" s="24">
        <v>116</v>
      </c>
      <c r="BA119" s="24">
        <v>0.88235294117647056</v>
      </c>
      <c r="BB119" s="24">
        <v>1</v>
      </c>
      <c r="BC119" s="24">
        <v>114</v>
      </c>
      <c r="BD119" s="24">
        <v>38.473333333333336</v>
      </c>
    </row>
    <row r="120" spans="52:56" x14ac:dyDescent="0.25">
      <c r="AZ120" s="24">
        <v>117</v>
      </c>
      <c r="BA120" s="24">
        <v>0.88235294117647056</v>
      </c>
      <c r="BB120" s="24">
        <v>1</v>
      </c>
      <c r="BC120" s="24">
        <v>115</v>
      </c>
      <c r="BD120" s="24">
        <v>38.805</v>
      </c>
    </row>
    <row r="121" spans="52:56" x14ac:dyDescent="0.25">
      <c r="AZ121" s="24">
        <v>118</v>
      </c>
      <c r="BA121" s="24">
        <v>0.88235294117647056</v>
      </c>
      <c r="BB121" s="24">
        <v>1</v>
      </c>
      <c r="BC121" s="24">
        <v>116</v>
      </c>
      <c r="BD121" s="24">
        <v>39.136666666666663</v>
      </c>
    </row>
    <row r="122" spans="52:56" x14ac:dyDescent="0.25">
      <c r="AZ122" s="24">
        <v>119</v>
      </c>
      <c r="BA122" s="24">
        <v>0.88235294117647056</v>
      </c>
      <c r="BB122" s="24">
        <v>1</v>
      </c>
      <c r="BC122" s="24">
        <v>117</v>
      </c>
      <c r="BD122" s="24">
        <v>39.468333333333334</v>
      </c>
    </row>
    <row r="123" spans="52:56" x14ac:dyDescent="0.25">
      <c r="AZ123" s="24">
        <v>120</v>
      </c>
      <c r="BA123" s="24">
        <v>0.88235294117647056</v>
      </c>
      <c r="BB123" s="24">
        <v>1</v>
      </c>
      <c r="BC123" s="24">
        <v>118</v>
      </c>
      <c r="BD123" s="24">
        <v>39.799999999999997</v>
      </c>
    </row>
    <row r="124" spans="52:56" x14ac:dyDescent="0.25">
      <c r="AZ124" s="23">
        <v>121</v>
      </c>
      <c r="BA124" s="23">
        <v>0.88235294117647056</v>
      </c>
      <c r="BB124" s="23">
        <v>1</v>
      </c>
      <c r="BC124" s="23">
        <v>119</v>
      </c>
      <c r="BD124" s="23">
        <v>40.131666666666668</v>
      </c>
    </row>
    <row r="125" spans="52:56" x14ac:dyDescent="0.25">
      <c r="AZ125" s="23">
        <v>122</v>
      </c>
      <c r="BA125" s="23">
        <v>0.88235294117647056</v>
      </c>
      <c r="BB125" s="23">
        <v>0</v>
      </c>
      <c r="BC125" s="23">
        <v>119</v>
      </c>
      <c r="BD125" s="23">
        <v>40.463333333333331</v>
      </c>
    </row>
    <row r="126" spans="52:56" x14ac:dyDescent="0.25">
      <c r="AZ126" s="23">
        <v>123</v>
      </c>
      <c r="BA126" s="23">
        <v>0.88235294117647056</v>
      </c>
      <c r="BB126" s="23">
        <v>1</v>
      </c>
      <c r="BC126" s="23">
        <v>120</v>
      </c>
      <c r="BD126" s="23">
        <v>40.795000000000002</v>
      </c>
    </row>
    <row r="127" spans="52:56" x14ac:dyDescent="0.25">
      <c r="AZ127" s="23">
        <v>124</v>
      </c>
      <c r="BA127" s="23">
        <v>0.88235294117647056</v>
      </c>
      <c r="BB127" s="23">
        <v>1</v>
      </c>
      <c r="BC127" s="23">
        <v>121</v>
      </c>
      <c r="BD127" s="23">
        <v>41.126666666666665</v>
      </c>
    </row>
    <row r="128" spans="52:56" x14ac:dyDescent="0.25">
      <c r="AZ128" s="23">
        <v>125</v>
      </c>
      <c r="BA128" s="23">
        <v>0.88235294117647056</v>
      </c>
      <c r="BB128" s="23">
        <v>1</v>
      </c>
      <c r="BC128" s="23">
        <v>122</v>
      </c>
      <c r="BD128" s="23">
        <v>41.458333333333336</v>
      </c>
    </row>
    <row r="129" spans="52:56" x14ac:dyDescent="0.25">
      <c r="AZ129" s="23">
        <v>126</v>
      </c>
      <c r="BA129" s="23">
        <v>0.88235294117647056</v>
      </c>
      <c r="BB129" s="23">
        <v>1</v>
      </c>
      <c r="BC129" s="23">
        <v>123</v>
      </c>
      <c r="BD129" s="23">
        <v>41.79</v>
      </c>
    </row>
    <row r="130" spans="52:56" x14ac:dyDescent="0.25">
      <c r="AZ130" s="23">
        <v>127</v>
      </c>
      <c r="BA130" s="23">
        <v>0.88235294117647056</v>
      </c>
      <c r="BB130" s="23">
        <v>1</v>
      </c>
      <c r="BC130" s="23">
        <v>124</v>
      </c>
      <c r="BD130" s="23">
        <v>42.12166666666667</v>
      </c>
    </row>
    <row r="131" spans="52:56" x14ac:dyDescent="0.25">
      <c r="AZ131" s="23">
        <v>128</v>
      </c>
      <c r="BA131" s="23">
        <v>0.88235294117647056</v>
      </c>
      <c r="BB131" s="23">
        <v>1</v>
      </c>
      <c r="BC131" s="23">
        <v>125</v>
      </c>
      <c r="BD131" s="23">
        <v>42.453333333333333</v>
      </c>
    </row>
    <row r="132" spans="52:56" x14ac:dyDescent="0.25">
      <c r="AZ132" s="23">
        <v>129</v>
      </c>
      <c r="BA132" s="23">
        <v>0.88235294117647056</v>
      </c>
      <c r="BB132" s="23">
        <v>1</v>
      </c>
      <c r="BC132" s="23">
        <v>126</v>
      </c>
      <c r="BD132" s="23">
        <v>42.784999999999997</v>
      </c>
    </row>
    <row r="133" spans="52:56" x14ac:dyDescent="0.25">
      <c r="AZ133" s="23">
        <v>130</v>
      </c>
      <c r="BA133" s="23">
        <v>0.88235294117647056</v>
      </c>
      <c r="BB133" s="23">
        <v>1</v>
      </c>
      <c r="BC133" s="23">
        <v>127</v>
      </c>
      <c r="BD133" s="23">
        <v>43.116666666666667</v>
      </c>
    </row>
    <row r="134" spans="52:56" x14ac:dyDescent="0.25">
      <c r="AZ134" s="23">
        <v>131</v>
      </c>
      <c r="BA134" s="23">
        <v>0.88235294117647056</v>
      </c>
      <c r="BB134" s="23">
        <v>1</v>
      </c>
      <c r="BC134" s="23">
        <v>128</v>
      </c>
      <c r="BD134" s="23">
        <v>43.448333333333331</v>
      </c>
    </row>
    <row r="135" spans="52:56" x14ac:dyDescent="0.25">
      <c r="AZ135" s="23">
        <v>132</v>
      </c>
      <c r="BA135" s="23">
        <v>0.88235294117647056</v>
      </c>
      <c r="BB135" s="23">
        <v>1</v>
      </c>
      <c r="BC135" s="23">
        <v>129</v>
      </c>
      <c r="BD135" s="23">
        <v>43.78</v>
      </c>
    </row>
    <row r="136" spans="52:56" x14ac:dyDescent="0.25">
      <c r="AZ136" s="23">
        <v>133</v>
      </c>
      <c r="BA136" s="23">
        <v>0.88235294117647056</v>
      </c>
      <c r="BB136" s="23">
        <v>1</v>
      </c>
      <c r="BC136" s="23">
        <v>130</v>
      </c>
      <c r="BD136" s="23">
        <v>44.111666666666665</v>
      </c>
    </row>
    <row r="137" spans="52:56" x14ac:dyDescent="0.25">
      <c r="AZ137" s="23">
        <v>134</v>
      </c>
      <c r="BA137" s="23">
        <v>0.88235294117647056</v>
      </c>
      <c r="BB137" s="23">
        <v>1</v>
      </c>
      <c r="BC137" s="23">
        <v>131</v>
      </c>
      <c r="BD137" s="23">
        <v>44.443333333333335</v>
      </c>
    </row>
    <row r="138" spans="52:56" x14ac:dyDescent="0.25">
      <c r="AZ138" s="23">
        <v>135</v>
      </c>
      <c r="BA138" s="23">
        <v>0.88235294117647056</v>
      </c>
      <c r="BB138" s="23">
        <v>1</v>
      </c>
      <c r="BC138" s="23">
        <v>132</v>
      </c>
      <c r="BD138" s="23">
        <v>44.774999999999999</v>
      </c>
    </row>
    <row r="139" spans="52:56" x14ac:dyDescent="0.25">
      <c r="AZ139" s="23">
        <v>136</v>
      </c>
      <c r="BA139" s="23">
        <v>0.88235294117647056</v>
      </c>
      <c r="BB139" s="23">
        <v>0</v>
      </c>
      <c r="BC139" s="23">
        <v>132</v>
      </c>
      <c r="BD139" s="23">
        <v>45.106666666666669</v>
      </c>
    </row>
    <row r="140" spans="52:56" x14ac:dyDescent="0.25">
      <c r="AZ140" s="23">
        <v>137</v>
      </c>
      <c r="BA140" s="23">
        <v>0.88235294117647056</v>
      </c>
      <c r="BB140" s="23">
        <v>0</v>
      </c>
      <c r="BC140" s="23">
        <v>132</v>
      </c>
      <c r="BD140" s="23">
        <v>45.438333333333333</v>
      </c>
    </row>
    <row r="141" spans="52:56" x14ac:dyDescent="0.25">
      <c r="AZ141" s="23">
        <v>138</v>
      </c>
      <c r="BA141" s="23">
        <v>0.88235294117647056</v>
      </c>
      <c r="BB141" s="23">
        <v>1</v>
      </c>
      <c r="BC141" s="23">
        <v>133</v>
      </c>
      <c r="BD141" s="23">
        <v>45.77</v>
      </c>
    </row>
    <row r="142" spans="52:56" x14ac:dyDescent="0.25">
      <c r="AZ142" s="23">
        <v>139</v>
      </c>
      <c r="BA142" s="23">
        <v>0.82352941176470584</v>
      </c>
      <c r="BB142" s="23">
        <v>1</v>
      </c>
      <c r="BC142" s="23">
        <v>134</v>
      </c>
      <c r="BD142" s="23">
        <v>46.101666666666667</v>
      </c>
    </row>
    <row r="143" spans="52:56" x14ac:dyDescent="0.25">
      <c r="AZ143" s="23">
        <v>140</v>
      </c>
      <c r="BA143" s="23">
        <v>0.82352941176470584</v>
      </c>
      <c r="BB143" s="23">
        <v>1</v>
      </c>
      <c r="BC143" s="23">
        <v>135</v>
      </c>
      <c r="BD143" s="23">
        <v>46.43333333333333</v>
      </c>
    </row>
    <row r="144" spans="52:56" x14ac:dyDescent="0.25">
      <c r="AZ144" s="23">
        <v>141</v>
      </c>
      <c r="BA144" s="23">
        <v>0.82352941176470584</v>
      </c>
      <c r="BB144" s="23">
        <v>1</v>
      </c>
      <c r="BC144" s="23">
        <v>136</v>
      </c>
      <c r="BD144" s="23">
        <v>46.765000000000001</v>
      </c>
    </row>
    <row r="145" spans="52:56" x14ac:dyDescent="0.25">
      <c r="AZ145" s="23">
        <v>142</v>
      </c>
      <c r="BA145" s="23">
        <v>0.82352941176470584</v>
      </c>
      <c r="BB145" s="23">
        <v>0</v>
      </c>
      <c r="BC145" s="23">
        <v>136</v>
      </c>
      <c r="BD145" s="23">
        <v>47.096666666666664</v>
      </c>
    </row>
    <row r="146" spans="52:56" x14ac:dyDescent="0.25">
      <c r="AZ146" s="23">
        <v>143</v>
      </c>
      <c r="BA146" s="23">
        <v>0.82352941176470584</v>
      </c>
      <c r="BB146" s="23">
        <v>1</v>
      </c>
      <c r="BC146" s="23">
        <v>137</v>
      </c>
      <c r="BD146" s="23">
        <v>47.428333333333335</v>
      </c>
    </row>
    <row r="147" spans="52:56" x14ac:dyDescent="0.25">
      <c r="AZ147" s="23">
        <v>144</v>
      </c>
      <c r="BA147" s="23">
        <v>0.82352941176470584</v>
      </c>
      <c r="BB147" s="23">
        <v>1</v>
      </c>
      <c r="BC147" s="23">
        <v>138</v>
      </c>
      <c r="BD147" s="23">
        <v>47.76</v>
      </c>
    </row>
    <row r="148" spans="52:56" x14ac:dyDescent="0.25">
      <c r="AZ148" s="23">
        <v>145</v>
      </c>
      <c r="BA148" s="23">
        <v>0.82352941176470584</v>
      </c>
      <c r="BB148" s="23">
        <v>1</v>
      </c>
      <c r="BC148" s="23">
        <v>139</v>
      </c>
      <c r="BD148" s="23">
        <v>48.091666666666669</v>
      </c>
    </row>
    <row r="149" spans="52:56" x14ac:dyDescent="0.25">
      <c r="AZ149" s="23">
        <v>146</v>
      </c>
      <c r="BA149" s="23">
        <v>0.82352941176470584</v>
      </c>
      <c r="BB149" s="23">
        <v>1</v>
      </c>
      <c r="BC149" s="23">
        <v>140</v>
      </c>
      <c r="BD149" s="23">
        <v>48.423333333333332</v>
      </c>
    </row>
    <row r="150" spans="52:56" x14ac:dyDescent="0.25">
      <c r="AZ150" s="23">
        <v>147</v>
      </c>
      <c r="BA150" s="23">
        <v>0.82352941176470584</v>
      </c>
      <c r="BB150" s="23">
        <v>1</v>
      </c>
      <c r="BC150" s="23">
        <v>141</v>
      </c>
      <c r="BD150" s="23">
        <v>48.755000000000003</v>
      </c>
    </row>
    <row r="151" spans="52:56" x14ac:dyDescent="0.25">
      <c r="AZ151" s="23">
        <v>148</v>
      </c>
      <c r="BA151" s="23">
        <v>0.82352941176470584</v>
      </c>
      <c r="BB151" s="23">
        <v>0</v>
      </c>
      <c r="BC151" s="23">
        <v>141</v>
      </c>
      <c r="BD151" s="23">
        <v>49.086666666666666</v>
      </c>
    </row>
    <row r="152" spans="52:56" x14ac:dyDescent="0.25">
      <c r="AZ152" s="23">
        <v>149</v>
      </c>
      <c r="BA152" s="23">
        <v>0.82352941176470584</v>
      </c>
      <c r="BB152" s="23">
        <v>1</v>
      </c>
      <c r="BC152" s="23">
        <v>142</v>
      </c>
      <c r="BD152" s="23">
        <v>49.418333333333337</v>
      </c>
    </row>
    <row r="153" spans="52:56" x14ac:dyDescent="0.25">
      <c r="AZ153" s="23">
        <v>150</v>
      </c>
      <c r="BA153" s="23">
        <v>0.82352941176470584</v>
      </c>
      <c r="BB153" s="23">
        <v>1</v>
      </c>
      <c r="BC153" s="23">
        <v>143</v>
      </c>
      <c r="BD153" s="23">
        <v>49.75</v>
      </c>
    </row>
    <row r="154" spans="52:56" x14ac:dyDescent="0.25">
      <c r="AZ154" s="23">
        <v>151</v>
      </c>
      <c r="BA154" s="23">
        <v>0.82352941176470584</v>
      </c>
      <c r="BB154" s="23">
        <v>1</v>
      </c>
      <c r="BC154" s="23">
        <v>144</v>
      </c>
      <c r="BD154" s="23">
        <v>50.081666666666663</v>
      </c>
    </row>
    <row r="155" spans="52:56" x14ac:dyDescent="0.25">
      <c r="AZ155" s="23">
        <v>152</v>
      </c>
      <c r="BA155" s="23">
        <v>0.82352941176470584</v>
      </c>
      <c r="BB155" s="23">
        <v>0</v>
      </c>
      <c r="BC155" s="23">
        <v>144</v>
      </c>
      <c r="BD155" s="23">
        <v>50.413333333333334</v>
      </c>
    </row>
    <row r="156" spans="52:56" x14ac:dyDescent="0.25">
      <c r="AZ156" s="23">
        <v>153</v>
      </c>
      <c r="BA156" s="23">
        <v>0.82352941176470584</v>
      </c>
      <c r="BB156" s="23">
        <v>0</v>
      </c>
      <c r="BC156" s="23">
        <v>144</v>
      </c>
      <c r="BD156" s="23">
        <v>50.744999999999997</v>
      </c>
    </row>
    <row r="157" spans="52:56" x14ac:dyDescent="0.25">
      <c r="AZ157" s="23">
        <v>154</v>
      </c>
      <c r="BA157" s="23">
        <v>0.82352941176470584</v>
      </c>
      <c r="BB157" s="23">
        <v>1</v>
      </c>
      <c r="BC157" s="23">
        <v>145</v>
      </c>
      <c r="BD157" s="23">
        <v>51.076666666666668</v>
      </c>
    </row>
    <row r="158" spans="52:56" x14ac:dyDescent="0.25">
      <c r="AZ158" s="23">
        <v>155</v>
      </c>
      <c r="BA158" s="23">
        <v>0.82352941176470584</v>
      </c>
      <c r="BB158" s="23">
        <v>1</v>
      </c>
      <c r="BC158" s="23">
        <v>146</v>
      </c>
      <c r="BD158" s="23">
        <v>51.408333333333331</v>
      </c>
    </row>
    <row r="159" spans="52:56" x14ac:dyDescent="0.25">
      <c r="AZ159" s="23">
        <v>156</v>
      </c>
      <c r="BA159" s="23">
        <v>0.82352941176470584</v>
      </c>
      <c r="BB159" s="23">
        <v>1</v>
      </c>
      <c r="BC159" s="23">
        <v>147</v>
      </c>
      <c r="BD159" s="23">
        <v>51.74</v>
      </c>
    </row>
    <row r="160" spans="52:56" x14ac:dyDescent="0.25">
      <c r="AZ160" s="23">
        <v>157</v>
      </c>
      <c r="BA160" s="23">
        <v>0.82352941176470584</v>
      </c>
      <c r="BB160" s="23">
        <v>1</v>
      </c>
      <c r="BC160" s="23">
        <v>148</v>
      </c>
      <c r="BD160" s="23">
        <v>52.071666666666665</v>
      </c>
    </row>
    <row r="161" spans="52:56" x14ac:dyDescent="0.25">
      <c r="AZ161" s="23">
        <v>158</v>
      </c>
      <c r="BA161" s="23">
        <v>0.82352941176470584</v>
      </c>
      <c r="BB161" s="23">
        <v>1</v>
      </c>
      <c r="BC161" s="23">
        <v>149</v>
      </c>
      <c r="BD161" s="23">
        <v>52.403333333333336</v>
      </c>
    </row>
    <row r="162" spans="52:56" x14ac:dyDescent="0.25">
      <c r="AZ162" s="23">
        <v>159</v>
      </c>
      <c r="BA162" s="23">
        <v>0.76470588235294112</v>
      </c>
      <c r="BB162" s="23">
        <v>1</v>
      </c>
      <c r="BC162" s="23">
        <v>150</v>
      </c>
      <c r="BD162" s="23">
        <v>52.734999999999999</v>
      </c>
    </row>
    <row r="163" spans="52:56" x14ac:dyDescent="0.25">
      <c r="AZ163" s="23">
        <v>160</v>
      </c>
      <c r="BA163" s="23">
        <v>0.76470588235294112</v>
      </c>
      <c r="BB163" s="23">
        <v>1</v>
      </c>
      <c r="BC163" s="23">
        <v>151</v>
      </c>
      <c r="BD163" s="23">
        <v>53.066666666666663</v>
      </c>
    </row>
    <row r="164" spans="52:56" x14ac:dyDescent="0.25">
      <c r="AZ164" s="23">
        <v>161</v>
      </c>
      <c r="BA164" s="23">
        <v>0.76470588235294112</v>
      </c>
      <c r="BB164" s="23">
        <v>1</v>
      </c>
      <c r="BC164" s="23">
        <v>152</v>
      </c>
      <c r="BD164" s="23">
        <v>53.398333333333333</v>
      </c>
    </row>
    <row r="165" spans="52:56" x14ac:dyDescent="0.25">
      <c r="AZ165" s="23">
        <v>162</v>
      </c>
      <c r="BA165" s="23">
        <v>0.70588235294117652</v>
      </c>
      <c r="BB165" s="23">
        <v>1</v>
      </c>
      <c r="BC165" s="23">
        <v>153</v>
      </c>
      <c r="BD165" s="23">
        <v>53.73</v>
      </c>
    </row>
    <row r="166" spans="52:56" x14ac:dyDescent="0.25">
      <c r="AZ166" s="23">
        <v>163</v>
      </c>
      <c r="BA166" s="23">
        <v>0.70588235294117652</v>
      </c>
      <c r="BB166" s="23">
        <v>1</v>
      </c>
      <c r="BC166" s="23">
        <v>154</v>
      </c>
      <c r="BD166" s="23">
        <v>54.061666666666667</v>
      </c>
    </row>
    <row r="167" spans="52:56" x14ac:dyDescent="0.25">
      <c r="AZ167" s="23">
        <v>164</v>
      </c>
      <c r="BA167" s="23">
        <v>0.70588235294117652</v>
      </c>
      <c r="BB167" s="23">
        <v>0</v>
      </c>
      <c r="BC167" s="23">
        <v>154</v>
      </c>
      <c r="BD167" s="23">
        <v>54.393333333333331</v>
      </c>
    </row>
    <row r="168" spans="52:56" x14ac:dyDescent="0.25">
      <c r="AZ168" s="23">
        <v>165</v>
      </c>
      <c r="BA168" s="23">
        <v>0.70588235294117652</v>
      </c>
      <c r="BB168" s="23">
        <v>1</v>
      </c>
      <c r="BC168" s="23">
        <v>155</v>
      </c>
      <c r="BD168" s="23">
        <v>54.725000000000001</v>
      </c>
    </row>
    <row r="169" spans="52:56" x14ac:dyDescent="0.25">
      <c r="AZ169" s="23">
        <v>166</v>
      </c>
      <c r="BA169" s="23">
        <v>0.70588235294117652</v>
      </c>
      <c r="BB169" s="23">
        <v>1</v>
      </c>
      <c r="BC169" s="23">
        <v>156</v>
      </c>
      <c r="BD169" s="23">
        <v>55.056666666666665</v>
      </c>
    </row>
    <row r="170" spans="52:56" x14ac:dyDescent="0.25">
      <c r="AZ170" s="23">
        <v>167</v>
      </c>
      <c r="BA170" s="23">
        <v>0.70588235294117652</v>
      </c>
      <c r="BB170" s="23">
        <v>0</v>
      </c>
      <c r="BC170" s="23">
        <v>156</v>
      </c>
      <c r="BD170" s="23">
        <v>55.388333333333335</v>
      </c>
    </row>
    <row r="171" spans="52:56" x14ac:dyDescent="0.25">
      <c r="AZ171" s="23">
        <v>168</v>
      </c>
      <c r="BA171" s="23">
        <v>0.70588235294117652</v>
      </c>
      <c r="BB171" s="23">
        <v>0</v>
      </c>
      <c r="BC171" s="23">
        <v>156</v>
      </c>
      <c r="BD171" s="23">
        <v>55.72</v>
      </c>
    </row>
    <row r="172" spans="52:56" x14ac:dyDescent="0.25">
      <c r="AZ172" s="23">
        <v>169</v>
      </c>
      <c r="BA172" s="23">
        <v>0.70588235294117652</v>
      </c>
      <c r="BB172" s="23">
        <v>0</v>
      </c>
      <c r="BC172" s="23">
        <v>156</v>
      </c>
      <c r="BD172" s="23">
        <v>56.051666666666669</v>
      </c>
    </row>
    <row r="173" spans="52:56" x14ac:dyDescent="0.25">
      <c r="AZ173" s="23">
        <v>170</v>
      </c>
      <c r="BA173" s="23">
        <v>0.70588235294117652</v>
      </c>
      <c r="BB173" s="23">
        <v>0</v>
      </c>
      <c r="BC173" s="23">
        <v>156</v>
      </c>
      <c r="BD173" s="23">
        <v>56.383333333333333</v>
      </c>
    </row>
    <row r="174" spans="52:56" x14ac:dyDescent="0.25">
      <c r="AZ174" s="23">
        <v>171</v>
      </c>
      <c r="BA174" s="23">
        <v>0.70588235294117652</v>
      </c>
      <c r="BB174" s="23">
        <v>1</v>
      </c>
      <c r="BC174" s="23">
        <v>157</v>
      </c>
      <c r="BD174" s="23">
        <v>56.714999999999996</v>
      </c>
    </row>
    <row r="175" spans="52:56" x14ac:dyDescent="0.25">
      <c r="AZ175" s="23">
        <v>172</v>
      </c>
      <c r="BA175" s="23">
        <v>0.6470588235294118</v>
      </c>
      <c r="BB175" s="23">
        <v>1</v>
      </c>
      <c r="BC175" s="23">
        <v>158</v>
      </c>
      <c r="BD175" s="23">
        <v>57.046666666666667</v>
      </c>
    </row>
    <row r="176" spans="52:56" x14ac:dyDescent="0.25">
      <c r="AZ176" s="23">
        <v>173</v>
      </c>
      <c r="BA176" s="23">
        <v>0.6470588235294118</v>
      </c>
      <c r="BB176" s="23">
        <v>1</v>
      </c>
      <c r="BC176" s="23">
        <v>159</v>
      </c>
      <c r="BD176" s="23">
        <v>57.37833333333333</v>
      </c>
    </row>
    <row r="177" spans="52:56" x14ac:dyDescent="0.25">
      <c r="AZ177" s="23">
        <v>174</v>
      </c>
      <c r="BA177" s="23">
        <v>0.6470588235294118</v>
      </c>
      <c r="BB177" s="23">
        <v>0</v>
      </c>
      <c r="BC177" s="23">
        <v>159</v>
      </c>
      <c r="BD177" s="23">
        <v>57.71</v>
      </c>
    </row>
    <row r="178" spans="52:56" x14ac:dyDescent="0.25">
      <c r="AZ178" s="23">
        <v>175</v>
      </c>
      <c r="BA178" s="23">
        <v>0.6470588235294118</v>
      </c>
      <c r="BB178" s="23">
        <v>0</v>
      </c>
      <c r="BC178" s="23">
        <v>159</v>
      </c>
      <c r="BD178" s="23">
        <v>58.041666666666664</v>
      </c>
    </row>
    <row r="179" spans="52:56" x14ac:dyDescent="0.25">
      <c r="AZ179" s="23">
        <v>176</v>
      </c>
      <c r="BA179" s="23">
        <v>0.6470588235294118</v>
      </c>
      <c r="BB179" s="23">
        <v>1</v>
      </c>
      <c r="BC179" s="23">
        <v>160</v>
      </c>
      <c r="BD179" s="23">
        <v>58.373333333333335</v>
      </c>
    </row>
    <row r="180" spans="52:56" x14ac:dyDescent="0.25">
      <c r="AZ180" s="23">
        <v>177</v>
      </c>
      <c r="BA180" s="23">
        <v>0.6470588235294118</v>
      </c>
      <c r="BB180" s="23">
        <v>1</v>
      </c>
      <c r="BC180" s="23">
        <v>161</v>
      </c>
      <c r="BD180" s="23">
        <v>58.704999999999998</v>
      </c>
    </row>
    <row r="181" spans="52:56" x14ac:dyDescent="0.25">
      <c r="AZ181" s="23">
        <v>178</v>
      </c>
      <c r="BA181" s="23">
        <v>0.6470588235294118</v>
      </c>
      <c r="BB181" s="23">
        <v>1</v>
      </c>
      <c r="BC181" s="23">
        <v>162</v>
      </c>
      <c r="BD181" s="23">
        <v>59.036666666666669</v>
      </c>
    </row>
    <row r="182" spans="52:56" x14ac:dyDescent="0.25">
      <c r="AZ182" s="23">
        <v>179</v>
      </c>
      <c r="BA182" s="23">
        <v>0.58823529411764708</v>
      </c>
      <c r="BB182" s="23">
        <v>0</v>
      </c>
      <c r="BC182" s="23">
        <v>162</v>
      </c>
      <c r="BD182" s="23">
        <v>59.368333333333332</v>
      </c>
    </row>
    <row r="183" spans="52:56" x14ac:dyDescent="0.25">
      <c r="AZ183" s="23">
        <v>180</v>
      </c>
      <c r="BA183" s="23">
        <v>0.58823529411764708</v>
      </c>
      <c r="BB183" s="23">
        <v>1</v>
      </c>
      <c r="BC183" s="23">
        <v>163</v>
      </c>
      <c r="BD183" s="23">
        <v>59.7</v>
      </c>
    </row>
    <row r="184" spans="52:56" x14ac:dyDescent="0.25">
      <c r="AZ184" s="24">
        <v>181</v>
      </c>
      <c r="BA184" s="24">
        <v>0.58823529411764708</v>
      </c>
      <c r="BB184" s="24">
        <v>1</v>
      </c>
      <c r="BC184" s="24">
        <v>164</v>
      </c>
      <c r="BD184" s="24">
        <v>60.031666666666666</v>
      </c>
    </row>
    <row r="185" spans="52:56" x14ac:dyDescent="0.25">
      <c r="AZ185" s="24">
        <v>182</v>
      </c>
      <c r="BA185" s="24">
        <v>0.58823529411764708</v>
      </c>
      <c r="BB185" s="24">
        <v>1</v>
      </c>
      <c r="BC185" s="24">
        <v>165</v>
      </c>
      <c r="BD185" s="24">
        <v>60.36333333333333</v>
      </c>
    </row>
    <row r="186" spans="52:56" x14ac:dyDescent="0.25">
      <c r="AZ186" s="24">
        <v>183</v>
      </c>
      <c r="BA186" s="24">
        <v>0.52941176470588236</v>
      </c>
      <c r="BB186" s="24">
        <v>1</v>
      </c>
      <c r="BC186" s="24">
        <v>166</v>
      </c>
      <c r="BD186" s="24">
        <v>60.695</v>
      </c>
    </row>
    <row r="187" spans="52:56" x14ac:dyDescent="0.25">
      <c r="AZ187" s="24">
        <v>184</v>
      </c>
      <c r="BA187" s="24">
        <v>0.52941176470588236</v>
      </c>
      <c r="BB187" s="24">
        <v>0</v>
      </c>
      <c r="BC187" s="24">
        <v>166</v>
      </c>
      <c r="BD187" s="24">
        <v>61.026666666666664</v>
      </c>
    </row>
    <row r="188" spans="52:56" x14ac:dyDescent="0.25">
      <c r="AZ188" s="24">
        <v>185</v>
      </c>
      <c r="BA188" s="24">
        <v>0.52941176470588236</v>
      </c>
      <c r="BB188" s="24">
        <v>1</v>
      </c>
      <c r="BC188" s="24">
        <v>167</v>
      </c>
      <c r="BD188" s="24">
        <v>61.358333333333334</v>
      </c>
    </row>
    <row r="189" spans="52:56" x14ac:dyDescent="0.25">
      <c r="AZ189" s="24">
        <v>186</v>
      </c>
      <c r="BA189" s="24">
        <v>0.47058823529411764</v>
      </c>
      <c r="BB189" s="24">
        <v>1</v>
      </c>
      <c r="BC189" s="24">
        <v>168</v>
      </c>
      <c r="BD189" s="24">
        <v>61.69</v>
      </c>
    </row>
    <row r="190" spans="52:56" x14ac:dyDescent="0.25">
      <c r="AZ190" s="24">
        <v>187</v>
      </c>
      <c r="BA190" s="24">
        <v>0.47058823529411764</v>
      </c>
      <c r="BB190" s="24">
        <v>0</v>
      </c>
      <c r="BC190" s="24">
        <v>168</v>
      </c>
      <c r="BD190" s="24">
        <v>62.021666666666668</v>
      </c>
    </row>
    <row r="191" spans="52:56" x14ac:dyDescent="0.25">
      <c r="AZ191" s="24">
        <v>188</v>
      </c>
      <c r="BA191" s="24">
        <v>0.47058823529411764</v>
      </c>
      <c r="BB191" s="24">
        <v>0</v>
      </c>
      <c r="BC191" s="24">
        <v>168</v>
      </c>
      <c r="BD191" s="24">
        <v>62.353333333333332</v>
      </c>
    </row>
    <row r="192" spans="52:56" x14ac:dyDescent="0.25">
      <c r="AZ192" s="24">
        <v>189</v>
      </c>
      <c r="BA192" s="24">
        <v>0.47058823529411764</v>
      </c>
      <c r="BB192" s="24">
        <v>0</v>
      </c>
      <c r="BC192" s="24">
        <v>168</v>
      </c>
      <c r="BD192" s="24">
        <v>62.685000000000002</v>
      </c>
    </row>
    <row r="193" spans="52:56" x14ac:dyDescent="0.25">
      <c r="AZ193" s="24">
        <v>190</v>
      </c>
      <c r="BA193" s="24">
        <v>0.47058823529411764</v>
      </c>
      <c r="BB193" s="24">
        <v>0</v>
      </c>
      <c r="BC193" s="24">
        <v>168</v>
      </c>
      <c r="BD193" s="24">
        <v>63.016666666666666</v>
      </c>
    </row>
    <row r="194" spans="52:56" x14ac:dyDescent="0.25">
      <c r="AZ194" s="24">
        <v>191</v>
      </c>
      <c r="BA194" s="24">
        <v>0.47058823529411764</v>
      </c>
      <c r="BB194" s="24">
        <v>0</v>
      </c>
      <c r="BC194" s="24">
        <v>168</v>
      </c>
      <c r="BD194" s="24">
        <v>63.348333333333336</v>
      </c>
    </row>
    <row r="195" spans="52:56" x14ac:dyDescent="0.25">
      <c r="AZ195" s="24">
        <v>192</v>
      </c>
      <c r="BA195" s="24">
        <v>0.47058823529411764</v>
      </c>
      <c r="BB195" s="24">
        <v>1</v>
      </c>
      <c r="BC195" s="24">
        <v>169</v>
      </c>
      <c r="BD195" s="24">
        <v>63.68</v>
      </c>
    </row>
    <row r="196" spans="52:56" x14ac:dyDescent="0.25">
      <c r="AZ196" s="24">
        <v>193</v>
      </c>
      <c r="BA196" s="24">
        <v>0.47058823529411764</v>
      </c>
      <c r="BB196" s="24">
        <v>0</v>
      </c>
      <c r="BC196" s="24">
        <v>169</v>
      </c>
      <c r="BD196" s="24">
        <v>64.01166666666667</v>
      </c>
    </row>
    <row r="197" spans="52:56" x14ac:dyDescent="0.25">
      <c r="AZ197" s="24">
        <v>194</v>
      </c>
      <c r="BA197" s="24">
        <v>0.47058823529411764</v>
      </c>
      <c r="BB197" s="24">
        <v>0</v>
      </c>
      <c r="BC197" s="24">
        <v>169</v>
      </c>
      <c r="BD197" s="24">
        <v>64.343333333333334</v>
      </c>
    </row>
    <row r="198" spans="52:56" x14ac:dyDescent="0.25">
      <c r="AZ198" s="24">
        <v>195</v>
      </c>
      <c r="BA198" s="24">
        <v>0.41176470588235292</v>
      </c>
      <c r="BB198" s="24">
        <v>0</v>
      </c>
      <c r="BC198" s="24">
        <v>169</v>
      </c>
      <c r="BD198" s="24">
        <v>64.674999999999997</v>
      </c>
    </row>
    <row r="199" spans="52:56" x14ac:dyDescent="0.25">
      <c r="AZ199" s="24">
        <v>196</v>
      </c>
      <c r="BA199" s="24">
        <v>0.41176470588235292</v>
      </c>
      <c r="BB199" s="24">
        <v>0</v>
      </c>
      <c r="BC199" s="24">
        <v>169</v>
      </c>
      <c r="BD199" s="24">
        <v>65.006666666666661</v>
      </c>
    </row>
    <row r="200" spans="52:56" x14ac:dyDescent="0.25">
      <c r="AZ200" s="24">
        <v>197</v>
      </c>
      <c r="BA200" s="24">
        <v>0.41176470588235292</v>
      </c>
      <c r="BB200" s="24">
        <v>1</v>
      </c>
      <c r="BC200" s="24">
        <v>170</v>
      </c>
      <c r="BD200" s="24">
        <v>65.338333333333338</v>
      </c>
    </row>
    <row r="201" spans="52:56" x14ac:dyDescent="0.25">
      <c r="AZ201" s="24">
        <v>198</v>
      </c>
      <c r="BA201" s="24">
        <v>0.41176470588235292</v>
      </c>
      <c r="BB201" s="24">
        <v>1</v>
      </c>
      <c r="BC201" s="24">
        <v>171</v>
      </c>
      <c r="BD201" s="24">
        <v>65.67</v>
      </c>
    </row>
    <row r="202" spans="52:56" x14ac:dyDescent="0.25">
      <c r="AZ202" s="24">
        <v>199</v>
      </c>
      <c r="BA202" s="24">
        <v>0.41176470588235292</v>
      </c>
      <c r="BB202" s="24">
        <v>1</v>
      </c>
      <c r="BC202" s="24">
        <v>172</v>
      </c>
      <c r="BD202" s="24">
        <v>66.001666666666665</v>
      </c>
    </row>
    <row r="203" spans="52:56" x14ac:dyDescent="0.25">
      <c r="AZ203" s="24">
        <v>200</v>
      </c>
      <c r="BA203" s="24">
        <v>0.41176470588235292</v>
      </c>
      <c r="BB203" s="24">
        <v>1</v>
      </c>
      <c r="BC203" s="24">
        <v>173</v>
      </c>
      <c r="BD203" s="24">
        <v>66.333333333333329</v>
      </c>
    </row>
    <row r="204" spans="52:56" x14ac:dyDescent="0.25">
      <c r="AZ204" s="24">
        <v>201</v>
      </c>
      <c r="BA204" s="24">
        <v>0.41176470588235292</v>
      </c>
      <c r="BB204" s="24">
        <v>1</v>
      </c>
      <c r="BC204" s="24">
        <v>174</v>
      </c>
      <c r="BD204" s="24">
        <v>66.665000000000006</v>
      </c>
    </row>
    <row r="205" spans="52:56" x14ac:dyDescent="0.25">
      <c r="AZ205" s="24">
        <v>202</v>
      </c>
      <c r="BA205" s="24">
        <v>0.41176470588235292</v>
      </c>
      <c r="BB205" s="24">
        <v>0</v>
      </c>
      <c r="BC205" s="24">
        <v>174</v>
      </c>
      <c r="BD205" s="24">
        <v>66.99666666666667</v>
      </c>
    </row>
    <row r="206" spans="52:56" x14ac:dyDescent="0.25">
      <c r="AZ206" s="24">
        <v>203</v>
      </c>
      <c r="BA206" s="24">
        <v>0.41176470588235292</v>
      </c>
      <c r="BB206" s="24">
        <v>0</v>
      </c>
      <c r="BC206" s="24">
        <v>174</v>
      </c>
      <c r="BD206" s="24">
        <v>67.328333333333333</v>
      </c>
    </row>
    <row r="207" spans="52:56" x14ac:dyDescent="0.25">
      <c r="AZ207" s="24">
        <v>204</v>
      </c>
      <c r="BA207" s="24">
        <v>0.41176470588235292</v>
      </c>
      <c r="BB207" s="24">
        <v>0</v>
      </c>
      <c r="BC207" s="24">
        <v>174</v>
      </c>
      <c r="BD207" s="24">
        <v>67.66</v>
      </c>
    </row>
    <row r="208" spans="52:56" x14ac:dyDescent="0.25">
      <c r="AZ208" s="24">
        <v>205</v>
      </c>
      <c r="BA208" s="24">
        <v>0.41176470588235292</v>
      </c>
      <c r="BB208" s="24">
        <v>1</v>
      </c>
      <c r="BC208" s="24">
        <v>175</v>
      </c>
      <c r="BD208" s="24">
        <v>67.99166666666666</v>
      </c>
    </row>
    <row r="209" spans="52:56" x14ac:dyDescent="0.25">
      <c r="AZ209" s="24">
        <v>206</v>
      </c>
      <c r="BA209" s="24">
        <v>0.41176470588235292</v>
      </c>
      <c r="BB209" s="24">
        <v>0</v>
      </c>
      <c r="BC209" s="24">
        <v>175</v>
      </c>
      <c r="BD209" s="24">
        <v>68.323333333333338</v>
      </c>
    </row>
    <row r="210" spans="52:56" x14ac:dyDescent="0.25">
      <c r="AZ210" s="24">
        <v>207</v>
      </c>
      <c r="BA210" s="24">
        <v>0.41176470588235292</v>
      </c>
      <c r="BB210" s="24">
        <v>0</v>
      </c>
      <c r="BC210" s="24">
        <v>175</v>
      </c>
      <c r="BD210" s="24">
        <v>68.655000000000001</v>
      </c>
    </row>
    <row r="211" spans="52:56" x14ac:dyDescent="0.25">
      <c r="AZ211" s="24">
        <v>208</v>
      </c>
      <c r="BA211" s="24">
        <v>0.41176470588235292</v>
      </c>
      <c r="BB211" s="24">
        <v>0</v>
      </c>
      <c r="BC211" s="24">
        <v>175</v>
      </c>
      <c r="BD211" s="24">
        <v>68.986666666666665</v>
      </c>
    </row>
    <row r="212" spans="52:56" x14ac:dyDescent="0.25">
      <c r="AZ212" s="24">
        <v>209</v>
      </c>
      <c r="BA212" s="24">
        <v>0.41176470588235292</v>
      </c>
      <c r="BB212" s="24">
        <v>1</v>
      </c>
      <c r="BC212" s="24">
        <v>176</v>
      </c>
      <c r="BD212" s="24">
        <v>69.318333333333328</v>
      </c>
    </row>
    <row r="213" spans="52:56" x14ac:dyDescent="0.25">
      <c r="AZ213" s="24">
        <v>210</v>
      </c>
      <c r="BA213" s="24">
        <v>0.41176470588235292</v>
      </c>
      <c r="BB213" s="24">
        <v>1</v>
      </c>
      <c r="BC213" s="24">
        <v>177</v>
      </c>
      <c r="BD213" s="24">
        <v>69.650000000000006</v>
      </c>
    </row>
    <row r="214" spans="52:56" x14ac:dyDescent="0.25">
      <c r="AZ214" s="24">
        <v>211</v>
      </c>
      <c r="BA214" s="24">
        <v>0.41176470588235292</v>
      </c>
      <c r="BB214" s="24">
        <v>1</v>
      </c>
      <c r="BC214" s="24">
        <v>178</v>
      </c>
      <c r="BD214" s="24">
        <v>69.981666666666669</v>
      </c>
    </row>
    <row r="215" spans="52:56" x14ac:dyDescent="0.25">
      <c r="AZ215" s="24">
        <v>212</v>
      </c>
      <c r="BA215" s="24">
        <v>0.35294117647058826</v>
      </c>
      <c r="BB215" s="24">
        <v>1</v>
      </c>
      <c r="BC215" s="24">
        <v>179</v>
      </c>
      <c r="BD215" s="24">
        <v>70.313333333333333</v>
      </c>
    </row>
    <row r="216" spans="52:56" x14ac:dyDescent="0.25">
      <c r="AZ216" s="24">
        <v>213</v>
      </c>
      <c r="BA216" s="24">
        <v>0.35294117647058826</v>
      </c>
      <c r="BB216" s="24">
        <v>1</v>
      </c>
      <c r="BC216" s="24">
        <v>180</v>
      </c>
      <c r="BD216" s="24">
        <v>70.644999999999996</v>
      </c>
    </row>
    <row r="217" spans="52:56" x14ac:dyDescent="0.25">
      <c r="AZ217" s="24">
        <v>214</v>
      </c>
      <c r="BA217" s="24">
        <v>0.35294117647058826</v>
      </c>
      <c r="BB217" s="24">
        <v>1</v>
      </c>
      <c r="BC217" s="24">
        <v>181</v>
      </c>
      <c r="BD217" s="24">
        <v>70.976666666666659</v>
      </c>
    </row>
    <row r="218" spans="52:56" x14ac:dyDescent="0.25">
      <c r="AZ218" s="24">
        <v>215</v>
      </c>
      <c r="BA218" s="24">
        <v>0.35294117647058826</v>
      </c>
      <c r="BB218" s="24">
        <v>0</v>
      </c>
      <c r="BC218" s="24">
        <v>181</v>
      </c>
      <c r="BD218" s="24">
        <v>71.308333333333337</v>
      </c>
    </row>
    <row r="219" spans="52:56" x14ac:dyDescent="0.25">
      <c r="AZ219" s="24">
        <v>216</v>
      </c>
      <c r="BA219" s="24">
        <v>0.35294117647058826</v>
      </c>
      <c r="BB219" s="24">
        <v>0</v>
      </c>
      <c r="BC219" s="24">
        <v>181</v>
      </c>
      <c r="BD219" s="24">
        <v>71.64</v>
      </c>
    </row>
    <row r="220" spans="52:56" x14ac:dyDescent="0.25">
      <c r="AZ220" s="24">
        <v>217</v>
      </c>
      <c r="BA220" s="24">
        <v>0.35294117647058826</v>
      </c>
      <c r="BB220" s="24">
        <v>0</v>
      </c>
      <c r="BC220" s="24">
        <v>181</v>
      </c>
      <c r="BD220" s="24">
        <v>71.971666666666664</v>
      </c>
    </row>
    <row r="221" spans="52:56" x14ac:dyDescent="0.25">
      <c r="AZ221" s="24">
        <v>218</v>
      </c>
      <c r="BA221" s="24">
        <v>0.35294117647058826</v>
      </c>
      <c r="BB221" s="24">
        <v>0</v>
      </c>
      <c r="BC221" s="24">
        <v>181</v>
      </c>
      <c r="BD221" s="24">
        <v>72.303333333333327</v>
      </c>
    </row>
    <row r="222" spans="52:56" x14ac:dyDescent="0.25">
      <c r="AZ222" s="24">
        <v>219</v>
      </c>
      <c r="BA222" s="24">
        <v>0.35294117647058826</v>
      </c>
      <c r="BB222" s="24">
        <v>0</v>
      </c>
      <c r="BC222" s="24">
        <v>181</v>
      </c>
      <c r="BD222" s="24">
        <v>72.635000000000005</v>
      </c>
    </row>
    <row r="223" spans="52:56" x14ac:dyDescent="0.25">
      <c r="AZ223" s="24">
        <v>220</v>
      </c>
      <c r="BA223" s="24">
        <v>0.35294117647058826</v>
      </c>
      <c r="BB223" s="24">
        <v>1</v>
      </c>
      <c r="BC223" s="24">
        <v>182</v>
      </c>
      <c r="BD223" s="24">
        <v>72.966666666666669</v>
      </c>
    </row>
    <row r="224" spans="52:56" x14ac:dyDescent="0.25">
      <c r="AZ224" s="24">
        <v>221</v>
      </c>
      <c r="BA224" s="24">
        <v>0.35294117647058826</v>
      </c>
      <c r="BB224" s="24">
        <v>0</v>
      </c>
      <c r="BC224" s="24">
        <v>182</v>
      </c>
      <c r="BD224" s="24">
        <v>73.298333333333332</v>
      </c>
    </row>
    <row r="225" spans="52:56" x14ac:dyDescent="0.25">
      <c r="AZ225" s="24">
        <v>222</v>
      </c>
      <c r="BA225" s="24">
        <v>0.35294117647058826</v>
      </c>
      <c r="BB225" s="24">
        <v>1</v>
      </c>
      <c r="BC225" s="24">
        <v>183</v>
      </c>
      <c r="BD225" s="24">
        <v>73.63</v>
      </c>
    </row>
    <row r="226" spans="52:56" x14ac:dyDescent="0.25">
      <c r="AZ226" s="24">
        <v>223</v>
      </c>
      <c r="BA226" s="24">
        <v>0.35294117647058826</v>
      </c>
      <c r="BB226" s="24">
        <v>0</v>
      </c>
      <c r="BC226" s="24">
        <v>183</v>
      </c>
      <c r="BD226" s="24">
        <v>73.961666666666673</v>
      </c>
    </row>
    <row r="227" spans="52:56" x14ac:dyDescent="0.25">
      <c r="AZ227" s="24">
        <v>224</v>
      </c>
      <c r="BA227" s="24">
        <v>0.29411764705882354</v>
      </c>
      <c r="BB227" s="24">
        <v>0</v>
      </c>
      <c r="BC227" s="24">
        <v>183</v>
      </c>
      <c r="BD227" s="24">
        <v>74.293333333333337</v>
      </c>
    </row>
    <row r="228" spans="52:56" x14ac:dyDescent="0.25">
      <c r="AZ228" s="24">
        <v>225</v>
      </c>
      <c r="BA228" s="24">
        <v>0.29411764705882354</v>
      </c>
      <c r="BB228" s="24">
        <v>1</v>
      </c>
      <c r="BC228" s="24">
        <v>184</v>
      </c>
      <c r="BD228" s="24">
        <v>74.625</v>
      </c>
    </row>
    <row r="229" spans="52:56" x14ac:dyDescent="0.25">
      <c r="AZ229" s="24">
        <v>226</v>
      </c>
      <c r="BA229" s="24">
        <v>0.29411764705882354</v>
      </c>
      <c r="BB229" s="24">
        <v>0</v>
      </c>
      <c r="BC229" s="24">
        <v>184</v>
      </c>
      <c r="BD229" s="24">
        <v>74.956666666666663</v>
      </c>
    </row>
    <row r="230" spans="52:56" x14ac:dyDescent="0.25">
      <c r="AZ230" s="24">
        <v>227</v>
      </c>
      <c r="BA230" s="24">
        <v>0.29411764705882354</v>
      </c>
      <c r="BB230" s="24">
        <v>0</v>
      </c>
      <c r="BC230" s="24">
        <v>184</v>
      </c>
      <c r="BD230" s="24">
        <v>75.288333333333327</v>
      </c>
    </row>
    <row r="231" spans="52:56" x14ac:dyDescent="0.25">
      <c r="AZ231" s="24">
        <v>228</v>
      </c>
      <c r="BA231" s="24">
        <v>0.29411764705882354</v>
      </c>
      <c r="BB231" s="24">
        <v>1</v>
      </c>
      <c r="BC231" s="24">
        <v>185</v>
      </c>
      <c r="BD231" s="24">
        <v>75.62</v>
      </c>
    </row>
    <row r="232" spans="52:56" x14ac:dyDescent="0.25">
      <c r="AZ232" s="24">
        <v>229</v>
      </c>
      <c r="BA232" s="24">
        <v>0.29411764705882354</v>
      </c>
      <c r="BB232" s="24">
        <v>1</v>
      </c>
      <c r="BC232" s="24">
        <v>186</v>
      </c>
      <c r="BD232" s="24">
        <v>75.951666666666668</v>
      </c>
    </row>
    <row r="233" spans="52:56" x14ac:dyDescent="0.25">
      <c r="AZ233" s="24">
        <v>230</v>
      </c>
      <c r="BA233" s="24">
        <v>0.29411764705882354</v>
      </c>
      <c r="BB233" s="24">
        <v>1</v>
      </c>
      <c r="BC233" s="24">
        <v>187</v>
      </c>
      <c r="BD233" s="24">
        <v>76.283333333333331</v>
      </c>
    </row>
    <row r="234" spans="52:56" x14ac:dyDescent="0.25">
      <c r="AZ234" s="24">
        <v>231</v>
      </c>
      <c r="BA234" s="24">
        <v>0.29411764705882354</v>
      </c>
      <c r="BB234" s="24">
        <v>0</v>
      </c>
      <c r="BC234" s="24">
        <v>187</v>
      </c>
      <c r="BD234" s="24">
        <v>76.614999999999995</v>
      </c>
    </row>
    <row r="235" spans="52:56" x14ac:dyDescent="0.25">
      <c r="AZ235" s="24">
        <v>232</v>
      </c>
      <c r="BA235" s="24">
        <v>0.29411764705882354</v>
      </c>
      <c r="BB235" s="24">
        <v>0</v>
      </c>
      <c r="BC235" s="24">
        <v>187</v>
      </c>
      <c r="BD235" s="24">
        <v>76.946666666666673</v>
      </c>
    </row>
    <row r="236" spans="52:56" x14ac:dyDescent="0.25">
      <c r="AZ236" s="24">
        <v>233</v>
      </c>
      <c r="BA236" s="24">
        <v>0.29411764705882354</v>
      </c>
      <c r="BB236" s="24">
        <v>1</v>
      </c>
      <c r="BC236" s="24">
        <v>188</v>
      </c>
      <c r="BD236" s="24">
        <v>77.278333333333336</v>
      </c>
    </row>
    <row r="237" spans="52:56" x14ac:dyDescent="0.25">
      <c r="AZ237" s="24">
        <v>234</v>
      </c>
      <c r="BA237" s="24">
        <v>0.29411764705882354</v>
      </c>
      <c r="BB237" s="24">
        <v>0</v>
      </c>
      <c r="BC237" s="24">
        <v>188</v>
      </c>
      <c r="BD237" s="24">
        <v>77.61</v>
      </c>
    </row>
    <row r="238" spans="52:56" x14ac:dyDescent="0.25">
      <c r="AZ238" s="24">
        <v>235</v>
      </c>
      <c r="BA238" s="24">
        <v>0.29411764705882354</v>
      </c>
      <c r="BB238" s="24">
        <v>0</v>
      </c>
      <c r="BC238" s="24">
        <v>188</v>
      </c>
      <c r="BD238" s="24">
        <v>77.941666666666663</v>
      </c>
    </row>
    <row r="239" spans="52:56" x14ac:dyDescent="0.25">
      <c r="AZ239" s="24">
        <v>236</v>
      </c>
      <c r="BA239" s="24">
        <v>0.29411764705882354</v>
      </c>
      <c r="BB239" s="24">
        <v>0</v>
      </c>
      <c r="BC239" s="24">
        <v>188</v>
      </c>
      <c r="BD239" s="24">
        <v>78.273333333333326</v>
      </c>
    </row>
    <row r="240" spans="52:56" x14ac:dyDescent="0.25">
      <c r="AZ240" s="24">
        <v>237</v>
      </c>
      <c r="BA240" s="24">
        <v>0.29411764705882354</v>
      </c>
      <c r="BB240" s="24">
        <v>0</v>
      </c>
      <c r="BC240" s="24">
        <v>188</v>
      </c>
      <c r="BD240" s="24">
        <v>78.605000000000004</v>
      </c>
    </row>
    <row r="241" spans="52:56" x14ac:dyDescent="0.25">
      <c r="AZ241" s="24">
        <v>238</v>
      </c>
      <c r="BA241" s="24">
        <v>0.23529411764705882</v>
      </c>
      <c r="BB241" s="24">
        <v>1</v>
      </c>
      <c r="BC241" s="24">
        <v>189</v>
      </c>
      <c r="BD241" s="24">
        <v>78.936666666666667</v>
      </c>
    </row>
    <row r="242" spans="52:56" x14ac:dyDescent="0.25">
      <c r="AZ242" s="24">
        <v>239</v>
      </c>
      <c r="BA242" s="24">
        <v>0.23529411764705882</v>
      </c>
      <c r="BB242" s="24">
        <v>0</v>
      </c>
      <c r="BC242" s="24">
        <v>189</v>
      </c>
      <c r="BD242" s="24">
        <v>79.268333333333331</v>
      </c>
    </row>
    <row r="243" spans="52:56" x14ac:dyDescent="0.25">
      <c r="AZ243" s="24">
        <v>240</v>
      </c>
      <c r="BA243" s="24">
        <v>0.23529411764705882</v>
      </c>
      <c r="BB243" s="24">
        <v>0</v>
      </c>
      <c r="BC243" s="24">
        <v>189</v>
      </c>
      <c r="BD243" s="24">
        <v>79.599999999999994</v>
      </c>
    </row>
    <row r="244" spans="52:56" x14ac:dyDescent="0.25">
      <c r="AZ244" s="23">
        <v>241</v>
      </c>
      <c r="BA244" s="23">
        <v>0.23529411764705882</v>
      </c>
      <c r="BB244" s="23">
        <v>1</v>
      </c>
      <c r="BC244" s="23">
        <v>190</v>
      </c>
      <c r="BD244" s="23">
        <v>79.931666666666672</v>
      </c>
    </row>
    <row r="245" spans="52:56" x14ac:dyDescent="0.25">
      <c r="AZ245" s="23">
        <v>242</v>
      </c>
      <c r="BA245" s="23">
        <v>0.23529411764705882</v>
      </c>
      <c r="BB245" s="23">
        <v>0</v>
      </c>
      <c r="BC245" s="23">
        <v>190</v>
      </c>
      <c r="BD245" s="23">
        <v>80.263333333333335</v>
      </c>
    </row>
    <row r="246" spans="52:56" x14ac:dyDescent="0.25">
      <c r="AZ246" s="23">
        <v>243</v>
      </c>
      <c r="BA246" s="23">
        <v>0.23529411764705882</v>
      </c>
      <c r="BB246" s="23">
        <v>0</v>
      </c>
      <c r="BC246" s="23">
        <v>190</v>
      </c>
      <c r="BD246" s="23">
        <v>80.594999999999999</v>
      </c>
    </row>
    <row r="247" spans="52:56" x14ac:dyDescent="0.25">
      <c r="AZ247" s="23">
        <v>244</v>
      </c>
      <c r="BA247" s="23">
        <v>0.23529411764705882</v>
      </c>
      <c r="BB247" s="23">
        <v>0</v>
      </c>
      <c r="BC247" s="23">
        <v>190</v>
      </c>
      <c r="BD247" s="23">
        <v>80.926666666666662</v>
      </c>
    </row>
    <row r="248" spans="52:56" x14ac:dyDescent="0.25">
      <c r="AZ248" s="23">
        <v>245</v>
      </c>
      <c r="BA248" s="23">
        <v>0.23529411764705882</v>
      </c>
      <c r="BB248" s="23">
        <v>0</v>
      </c>
      <c r="BC248" s="23">
        <v>190</v>
      </c>
      <c r="BD248" s="23">
        <v>81.25833333333334</v>
      </c>
    </row>
    <row r="249" spans="52:56" x14ac:dyDescent="0.25">
      <c r="AZ249" s="23">
        <v>246</v>
      </c>
      <c r="BA249" s="23">
        <v>0.23529411764705882</v>
      </c>
      <c r="BB249" s="23">
        <v>0</v>
      </c>
      <c r="BC249" s="23">
        <v>190</v>
      </c>
      <c r="BD249" s="23">
        <v>81.59</v>
      </c>
    </row>
    <row r="250" spans="52:56" x14ac:dyDescent="0.25">
      <c r="AZ250" s="23">
        <v>247</v>
      </c>
      <c r="BA250" s="23">
        <v>0.23529411764705882</v>
      </c>
      <c r="BB250" s="23">
        <v>0</v>
      </c>
      <c r="BC250" s="23">
        <v>190</v>
      </c>
      <c r="BD250" s="23">
        <v>81.921666666666667</v>
      </c>
    </row>
    <row r="251" spans="52:56" x14ac:dyDescent="0.25">
      <c r="AZ251" s="23">
        <v>248</v>
      </c>
      <c r="BA251" s="23">
        <v>0.23529411764705882</v>
      </c>
      <c r="BB251" s="23">
        <v>0</v>
      </c>
      <c r="BC251" s="23">
        <v>190</v>
      </c>
      <c r="BD251" s="23">
        <v>82.25333333333333</v>
      </c>
    </row>
    <row r="252" spans="52:56" x14ac:dyDescent="0.25">
      <c r="AZ252" s="23">
        <v>249</v>
      </c>
      <c r="BA252" s="23">
        <v>0.23529411764705882</v>
      </c>
      <c r="BB252" s="23">
        <v>0</v>
      </c>
      <c r="BC252" s="23">
        <v>190</v>
      </c>
      <c r="BD252" s="23">
        <v>82.584999999999994</v>
      </c>
    </row>
    <row r="253" spans="52:56" x14ac:dyDescent="0.25">
      <c r="AZ253" s="23">
        <v>250</v>
      </c>
      <c r="BA253" s="23">
        <v>0.23529411764705882</v>
      </c>
      <c r="BB253" s="23">
        <v>0</v>
      </c>
      <c r="BC253" s="23">
        <v>190</v>
      </c>
      <c r="BD253" s="23">
        <v>82.916666666666671</v>
      </c>
    </row>
    <row r="254" spans="52:56" x14ac:dyDescent="0.25">
      <c r="AZ254" s="23">
        <v>251</v>
      </c>
      <c r="BA254" s="23">
        <v>0.23529411764705882</v>
      </c>
      <c r="BB254" s="23">
        <v>0</v>
      </c>
      <c r="BC254" s="23">
        <v>190</v>
      </c>
      <c r="BD254" s="23">
        <v>83.248333333333335</v>
      </c>
    </row>
    <row r="255" spans="52:56" x14ac:dyDescent="0.25">
      <c r="AZ255" s="23">
        <v>252</v>
      </c>
      <c r="BA255" s="23">
        <v>0.23529411764705882</v>
      </c>
      <c r="BB255" s="23">
        <v>1</v>
      </c>
      <c r="BC255" s="23">
        <v>191</v>
      </c>
      <c r="BD255" s="23">
        <v>83.58</v>
      </c>
    </row>
    <row r="256" spans="52:56" x14ac:dyDescent="0.25">
      <c r="AZ256" s="23">
        <v>253</v>
      </c>
      <c r="BA256" s="23">
        <v>0.23529411764705882</v>
      </c>
      <c r="BB256" s="23">
        <v>0</v>
      </c>
      <c r="BC256" s="23">
        <v>191</v>
      </c>
      <c r="BD256" s="23">
        <v>83.911666666666662</v>
      </c>
    </row>
    <row r="257" spans="52:56" x14ac:dyDescent="0.25">
      <c r="AZ257" s="23">
        <v>254</v>
      </c>
      <c r="BA257" s="23">
        <v>0.23529411764705882</v>
      </c>
      <c r="BB257" s="23">
        <v>0</v>
      </c>
      <c r="BC257" s="23">
        <v>191</v>
      </c>
      <c r="BD257" s="23">
        <v>84.243333333333339</v>
      </c>
    </row>
    <row r="258" spans="52:56" x14ac:dyDescent="0.25">
      <c r="AZ258" s="23">
        <v>255</v>
      </c>
      <c r="BA258" s="23">
        <v>0.23529411764705882</v>
      </c>
      <c r="BB258" s="23">
        <v>0</v>
      </c>
      <c r="BC258" s="23">
        <v>191</v>
      </c>
      <c r="BD258" s="23">
        <v>84.575000000000003</v>
      </c>
    </row>
    <row r="259" spans="52:56" x14ac:dyDescent="0.25">
      <c r="AZ259" s="23">
        <v>256</v>
      </c>
      <c r="BA259" s="23">
        <v>0.23529411764705882</v>
      </c>
      <c r="BB259" s="23">
        <v>0</v>
      </c>
      <c r="BC259" s="23">
        <v>191</v>
      </c>
      <c r="BD259" s="23">
        <v>84.906666666666666</v>
      </c>
    </row>
    <row r="260" spans="52:56" x14ac:dyDescent="0.25">
      <c r="AZ260" s="23">
        <v>257</v>
      </c>
      <c r="BA260" s="23">
        <v>0.23529411764705882</v>
      </c>
      <c r="BB260" s="23">
        <v>0</v>
      </c>
      <c r="BC260" s="23">
        <v>191</v>
      </c>
      <c r="BD260" s="23">
        <v>85.23833333333333</v>
      </c>
    </row>
    <row r="261" spans="52:56" x14ac:dyDescent="0.25">
      <c r="AZ261" s="23">
        <v>258</v>
      </c>
      <c r="BA261" s="23">
        <v>0.23529411764705882</v>
      </c>
      <c r="BB261" s="23">
        <v>0</v>
      </c>
      <c r="BC261" s="23">
        <v>191</v>
      </c>
      <c r="BD261" s="23">
        <v>85.57</v>
      </c>
    </row>
    <row r="262" spans="52:56" x14ac:dyDescent="0.25">
      <c r="AZ262" s="23">
        <v>259</v>
      </c>
      <c r="BA262" s="23">
        <v>0.23529411764705882</v>
      </c>
      <c r="BB262" s="23">
        <v>0</v>
      </c>
      <c r="BC262" s="23">
        <v>191</v>
      </c>
      <c r="BD262" s="23">
        <v>85.901666666666671</v>
      </c>
    </row>
    <row r="263" spans="52:56" x14ac:dyDescent="0.25">
      <c r="AZ263" s="23">
        <v>260</v>
      </c>
      <c r="BA263" s="23">
        <v>0.23529411764705882</v>
      </c>
      <c r="BB263" s="23">
        <v>0</v>
      </c>
      <c r="BC263" s="23">
        <v>191</v>
      </c>
      <c r="BD263" s="23">
        <v>86.233333333333334</v>
      </c>
    </row>
    <row r="264" spans="52:56" x14ac:dyDescent="0.25">
      <c r="AZ264" s="23">
        <v>261</v>
      </c>
      <c r="BA264" s="23">
        <v>0.23529411764705882</v>
      </c>
      <c r="BB264" s="23">
        <v>1</v>
      </c>
      <c r="BC264" s="23">
        <v>192</v>
      </c>
      <c r="BD264" s="23">
        <v>86.564999999999998</v>
      </c>
    </row>
    <row r="265" spans="52:56" x14ac:dyDescent="0.25">
      <c r="AZ265" s="23">
        <v>262</v>
      </c>
      <c r="BA265" s="23">
        <v>0.23529411764705882</v>
      </c>
      <c r="BB265" s="23">
        <v>0</v>
      </c>
      <c r="BC265" s="23">
        <v>192</v>
      </c>
      <c r="BD265" s="23">
        <v>86.896666666666661</v>
      </c>
    </row>
    <row r="266" spans="52:56" x14ac:dyDescent="0.25">
      <c r="AZ266" s="23">
        <v>263</v>
      </c>
      <c r="BA266" s="23">
        <v>0.23529411764705882</v>
      </c>
      <c r="BB266" s="23">
        <v>0</v>
      </c>
      <c r="BC266" s="23">
        <v>192</v>
      </c>
      <c r="BD266" s="23">
        <v>87.228333333333339</v>
      </c>
    </row>
    <row r="267" spans="52:56" x14ac:dyDescent="0.25">
      <c r="AZ267" s="23">
        <v>264</v>
      </c>
      <c r="BA267" s="23">
        <v>0.23529411764705882</v>
      </c>
      <c r="BB267" s="23">
        <v>1</v>
      </c>
      <c r="BC267" s="23">
        <v>193</v>
      </c>
      <c r="BD267" s="23">
        <v>87.56</v>
      </c>
    </row>
    <row r="268" spans="52:56" x14ac:dyDescent="0.25">
      <c r="AZ268" s="23">
        <v>265</v>
      </c>
      <c r="BA268" s="23">
        <v>0.23529411764705882</v>
      </c>
      <c r="BB268" s="23">
        <v>0</v>
      </c>
      <c r="BC268" s="23">
        <v>193</v>
      </c>
      <c r="BD268" s="23">
        <v>87.891666666666666</v>
      </c>
    </row>
    <row r="269" spans="52:56" x14ac:dyDescent="0.25">
      <c r="AZ269" s="23">
        <v>266</v>
      </c>
      <c r="BA269" s="23">
        <v>0.23529411764705882</v>
      </c>
      <c r="BB269" s="23">
        <v>1</v>
      </c>
      <c r="BC269" s="23">
        <v>194</v>
      </c>
      <c r="BD269" s="23">
        <v>88.223333333333329</v>
      </c>
    </row>
    <row r="270" spans="52:56" x14ac:dyDescent="0.25">
      <c r="AZ270" s="23">
        <v>267</v>
      </c>
      <c r="BA270" s="23">
        <v>0.23529411764705882</v>
      </c>
      <c r="BB270" s="23">
        <v>0</v>
      </c>
      <c r="BC270" s="23">
        <v>194</v>
      </c>
      <c r="BD270" s="23">
        <v>88.554999999999993</v>
      </c>
    </row>
    <row r="271" spans="52:56" x14ac:dyDescent="0.25">
      <c r="AZ271" s="23">
        <v>268</v>
      </c>
      <c r="BA271" s="23">
        <v>0.17647058823529413</v>
      </c>
      <c r="BB271" s="23">
        <v>0</v>
      </c>
      <c r="BC271" s="23">
        <v>194</v>
      </c>
      <c r="BD271" s="23">
        <v>88.88666666666667</v>
      </c>
    </row>
    <row r="272" spans="52:56" x14ac:dyDescent="0.25">
      <c r="AZ272" s="23">
        <v>269</v>
      </c>
      <c r="BA272" s="23">
        <v>0.17647058823529413</v>
      </c>
      <c r="BB272" s="23">
        <v>0</v>
      </c>
      <c r="BC272" s="23">
        <v>194</v>
      </c>
      <c r="BD272" s="23">
        <v>89.218333333333334</v>
      </c>
    </row>
    <row r="273" spans="52:56" x14ac:dyDescent="0.25">
      <c r="AZ273" s="23">
        <v>270</v>
      </c>
      <c r="BA273" s="23">
        <v>0.17647058823529413</v>
      </c>
      <c r="BB273" s="23">
        <v>1</v>
      </c>
      <c r="BC273" s="23">
        <v>195</v>
      </c>
      <c r="BD273" s="23">
        <v>89.55</v>
      </c>
    </row>
    <row r="274" spans="52:56" x14ac:dyDescent="0.25">
      <c r="AZ274" s="23">
        <v>271</v>
      </c>
      <c r="BA274" s="23">
        <v>0.17647058823529413</v>
      </c>
      <c r="BB274" s="23">
        <v>1</v>
      </c>
      <c r="BC274" s="23">
        <v>196</v>
      </c>
      <c r="BD274" s="23">
        <v>89.881666666666661</v>
      </c>
    </row>
    <row r="275" spans="52:56" x14ac:dyDescent="0.25">
      <c r="AZ275" s="23">
        <v>272</v>
      </c>
      <c r="BA275" s="23">
        <v>0.17647058823529413</v>
      </c>
      <c r="BB275" s="23">
        <v>0</v>
      </c>
      <c r="BC275" s="23">
        <v>196</v>
      </c>
      <c r="BD275" s="23">
        <v>90.213333333333338</v>
      </c>
    </row>
    <row r="276" spans="52:56" x14ac:dyDescent="0.25">
      <c r="AZ276" s="23">
        <v>273</v>
      </c>
      <c r="BA276" s="23">
        <v>0.17647058823529413</v>
      </c>
      <c r="BB276" s="23">
        <v>0</v>
      </c>
      <c r="BC276" s="23">
        <v>196</v>
      </c>
      <c r="BD276" s="23">
        <v>90.545000000000002</v>
      </c>
    </row>
    <row r="277" spans="52:56" x14ac:dyDescent="0.25">
      <c r="AZ277" s="23">
        <v>274</v>
      </c>
      <c r="BA277" s="23">
        <v>0.17647058823529413</v>
      </c>
      <c r="BB277" s="23">
        <v>0</v>
      </c>
      <c r="BC277" s="23">
        <v>196</v>
      </c>
      <c r="BD277" s="23">
        <v>90.876666666666665</v>
      </c>
    </row>
    <row r="278" spans="52:56" x14ac:dyDescent="0.25">
      <c r="AZ278" s="23">
        <v>275</v>
      </c>
      <c r="BA278" s="23">
        <v>0.17647058823529413</v>
      </c>
      <c r="BB278" s="23">
        <v>0</v>
      </c>
      <c r="BC278" s="23">
        <v>196</v>
      </c>
      <c r="BD278" s="23">
        <v>91.208333333333329</v>
      </c>
    </row>
    <row r="279" spans="52:56" x14ac:dyDescent="0.25">
      <c r="AZ279" s="23">
        <v>276</v>
      </c>
      <c r="BA279" s="23">
        <v>0.17647058823529413</v>
      </c>
      <c r="BB279" s="23">
        <v>0</v>
      </c>
      <c r="BC279" s="23">
        <v>196</v>
      </c>
      <c r="BD279" s="23">
        <v>91.54</v>
      </c>
    </row>
    <row r="280" spans="52:56" x14ac:dyDescent="0.25">
      <c r="AZ280" s="23">
        <v>277</v>
      </c>
      <c r="BA280" s="23">
        <v>0.17647058823529413</v>
      </c>
      <c r="BB280" s="23">
        <v>0</v>
      </c>
      <c r="BC280" s="23">
        <v>196</v>
      </c>
      <c r="BD280" s="23">
        <v>91.87166666666667</v>
      </c>
    </row>
    <row r="281" spans="52:56" x14ac:dyDescent="0.25">
      <c r="AZ281" s="23">
        <v>278</v>
      </c>
      <c r="BA281" s="23">
        <v>0.17647058823529413</v>
      </c>
      <c r="BB281" s="23">
        <v>0</v>
      </c>
      <c r="BC281" s="23">
        <v>196</v>
      </c>
      <c r="BD281" s="23">
        <v>92.203333333333333</v>
      </c>
    </row>
    <row r="282" spans="52:56" x14ac:dyDescent="0.25">
      <c r="AZ282" s="23">
        <v>279</v>
      </c>
      <c r="BA282" s="23">
        <v>0.17647058823529413</v>
      </c>
      <c r="BB282" s="23">
        <v>0</v>
      </c>
      <c r="BC282" s="23">
        <v>196</v>
      </c>
      <c r="BD282" s="23">
        <v>92.534999999999997</v>
      </c>
    </row>
    <row r="283" spans="52:56" x14ac:dyDescent="0.25">
      <c r="AZ283" s="23">
        <v>280</v>
      </c>
      <c r="BA283" s="23">
        <v>0.17647058823529413</v>
      </c>
      <c r="BB283" s="23">
        <v>0</v>
      </c>
      <c r="BC283" s="23">
        <v>196</v>
      </c>
      <c r="BD283" s="23">
        <v>92.86666666666666</v>
      </c>
    </row>
    <row r="284" spans="52:56" x14ac:dyDescent="0.25">
      <c r="AZ284" s="23">
        <v>281</v>
      </c>
      <c r="BA284" s="23">
        <v>0.17647058823529413</v>
      </c>
      <c r="BB284" s="23">
        <v>0</v>
      </c>
      <c r="BC284" s="23">
        <v>196</v>
      </c>
      <c r="BD284" s="23">
        <v>93.198333333333338</v>
      </c>
    </row>
    <row r="285" spans="52:56" x14ac:dyDescent="0.25">
      <c r="AZ285" s="23">
        <v>282</v>
      </c>
      <c r="BA285" s="23">
        <v>0.17647058823529413</v>
      </c>
      <c r="BB285" s="23">
        <v>0</v>
      </c>
      <c r="BC285" s="23">
        <v>196</v>
      </c>
      <c r="BD285" s="23">
        <v>93.53</v>
      </c>
    </row>
    <row r="286" spans="52:56" x14ac:dyDescent="0.25">
      <c r="AZ286" s="23">
        <v>283</v>
      </c>
      <c r="BA286" s="23">
        <v>0.11764705882352941</v>
      </c>
      <c r="BB286" s="23">
        <v>0</v>
      </c>
      <c r="BC286" s="23">
        <v>196</v>
      </c>
      <c r="BD286" s="23">
        <v>93.861666666666665</v>
      </c>
    </row>
    <row r="287" spans="52:56" x14ac:dyDescent="0.25">
      <c r="AZ287" s="23">
        <v>284</v>
      </c>
      <c r="BA287" s="23">
        <v>0.11764705882352941</v>
      </c>
      <c r="BB287" s="23">
        <v>0</v>
      </c>
      <c r="BC287" s="23">
        <v>196</v>
      </c>
      <c r="BD287" s="23">
        <v>94.193333333333328</v>
      </c>
    </row>
    <row r="288" spans="52:56" x14ac:dyDescent="0.25">
      <c r="AZ288" s="23">
        <v>285</v>
      </c>
      <c r="BA288" s="23">
        <v>0.11764705882352941</v>
      </c>
      <c r="BB288" s="23">
        <v>0</v>
      </c>
      <c r="BC288" s="23">
        <v>196</v>
      </c>
      <c r="BD288" s="23">
        <v>94.525000000000006</v>
      </c>
    </row>
    <row r="289" spans="52:56" x14ac:dyDescent="0.25">
      <c r="AZ289" s="23">
        <v>286</v>
      </c>
      <c r="BA289" s="23">
        <v>0.11764705882352941</v>
      </c>
      <c r="BB289" s="23">
        <v>0</v>
      </c>
      <c r="BC289" s="23">
        <v>196</v>
      </c>
      <c r="BD289" s="23">
        <v>94.856666666666669</v>
      </c>
    </row>
    <row r="290" spans="52:56" x14ac:dyDescent="0.25">
      <c r="AZ290" s="23">
        <v>287</v>
      </c>
      <c r="BA290" s="23">
        <v>0.11764705882352941</v>
      </c>
      <c r="BB290" s="23">
        <v>0</v>
      </c>
      <c r="BC290" s="23">
        <v>196</v>
      </c>
      <c r="BD290" s="23">
        <v>95.188333333333333</v>
      </c>
    </row>
    <row r="291" spans="52:56" x14ac:dyDescent="0.25">
      <c r="AZ291" s="23">
        <v>288</v>
      </c>
      <c r="BA291" s="23">
        <v>0.11764705882352941</v>
      </c>
      <c r="BB291" s="23">
        <v>0</v>
      </c>
      <c r="BC291" s="23">
        <v>196</v>
      </c>
      <c r="BD291" s="23">
        <v>95.52</v>
      </c>
    </row>
    <row r="292" spans="52:56" x14ac:dyDescent="0.25">
      <c r="AZ292" s="23">
        <v>289</v>
      </c>
      <c r="BA292" s="23">
        <v>0.11764705882352941</v>
      </c>
      <c r="BB292" s="23">
        <v>0</v>
      </c>
      <c r="BC292" s="23">
        <v>196</v>
      </c>
      <c r="BD292" s="23">
        <v>95.851666666666659</v>
      </c>
    </row>
    <row r="293" spans="52:56" x14ac:dyDescent="0.25">
      <c r="AZ293" s="23">
        <v>290</v>
      </c>
      <c r="BA293" s="23">
        <v>5.8823529411764705E-2</v>
      </c>
      <c r="BB293" s="23">
        <v>0</v>
      </c>
      <c r="BC293" s="23">
        <v>196</v>
      </c>
      <c r="BD293" s="23">
        <v>96.183333333333337</v>
      </c>
    </row>
    <row r="294" spans="52:56" x14ac:dyDescent="0.25">
      <c r="AZ294" s="23">
        <v>291</v>
      </c>
      <c r="BA294" s="23">
        <v>5.8823529411764705E-2</v>
      </c>
      <c r="BB294" s="23">
        <v>1</v>
      </c>
      <c r="BC294" s="23">
        <v>197</v>
      </c>
      <c r="BD294" s="23">
        <v>96.515000000000001</v>
      </c>
    </row>
    <row r="295" spans="52:56" x14ac:dyDescent="0.25">
      <c r="AZ295" s="23">
        <v>292</v>
      </c>
      <c r="BA295" s="23">
        <v>5.8823529411764705E-2</v>
      </c>
      <c r="BB295" s="23">
        <v>0</v>
      </c>
      <c r="BC295" s="23">
        <v>197</v>
      </c>
      <c r="BD295" s="23">
        <v>96.846666666666664</v>
      </c>
    </row>
    <row r="296" spans="52:56" x14ac:dyDescent="0.25">
      <c r="AZ296" s="23">
        <v>293</v>
      </c>
      <c r="BA296" s="23">
        <v>5.8823529411764705E-2</v>
      </c>
      <c r="BB296" s="23">
        <v>0</v>
      </c>
      <c r="BC296" s="23">
        <v>197</v>
      </c>
      <c r="BD296" s="23">
        <v>97.178333333333327</v>
      </c>
    </row>
    <row r="297" spans="52:56" x14ac:dyDescent="0.25">
      <c r="AZ297" s="23">
        <v>294</v>
      </c>
      <c r="BA297" s="23">
        <v>5.8823529411764705E-2</v>
      </c>
      <c r="BB297" s="23">
        <v>0</v>
      </c>
      <c r="BC297" s="23">
        <v>197</v>
      </c>
      <c r="BD297" s="23">
        <v>97.51</v>
      </c>
    </row>
    <row r="298" spans="52:56" x14ac:dyDescent="0.25">
      <c r="AZ298" s="23">
        <v>295</v>
      </c>
      <c r="BA298" s="23">
        <v>5.8823529411764705E-2</v>
      </c>
      <c r="BB298" s="23">
        <v>0</v>
      </c>
      <c r="BC298" s="23">
        <v>197</v>
      </c>
      <c r="BD298" s="23">
        <v>97.841666666666669</v>
      </c>
    </row>
    <row r="299" spans="52:56" x14ac:dyDescent="0.25">
      <c r="AZ299" s="23">
        <v>296</v>
      </c>
      <c r="BA299" s="23">
        <v>5.8823529411764705E-2</v>
      </c>
      <c r="BB299" s="23">
        <v>0</v>
      </c>
      <c r="BC299" s="23">
        <v>197</v>
      </c>
      <c r="BD299" s="23">
        <v>98.173333333333332</v>
      </c>
    </row>
    <row r="300" spans="52:56" x14ac:dyDescent="0.25">
      <c r="AZ300" s="23">
        <v>297</v>
      </c>
      <c r="BA300" s="23">
        <v>5.8823529411764705E-2</v>
      </c>
      <c r="BB300" s="23">
        <v>0</v>
      </c>
      <c r="BC300" s="23">
        <v>197</v>
      </c>
      <c r="BD300" s="23">
        <v>98.504999999999995</v>
      </c>
    </row>
    <row r="301" spans="52:56" x14ac:dyDescent="0.25">
      <c r="AZ301" s="23">
        <v>298</v>
      </c>
      <c r="BA301" s="23">
        <v>5.8823529411764705E-2</v>
      </c>
      <c r="BB301" s="23">
        <v>0</v>
      </c>
      <c r="BC301" s="23">
        <v>197</v>
      </c>
      <c r="BD301" s="23">
        <v>98.836666666666673</v>
      </c>
    </row>
    <row r="302" spans="52:56" x14ac:dyDescent="0.25">
      <c r="AZ302" s="23">
        <v>299</v>
      </c>
      <c r="BA302" s="23">
        <v>5.8823529411764705E-2</v>
      </c>
      <c r="BB302" s="23">
        <v>0</v>
      </c>
      <c r="BC302" s="23">
        <v>197</v>
      </c>
      <c r="BD302" s="23">
        <v>99.168333333333337</v>
      </c>
    </row>
    <row r="303" spans="52:56" x14ac:dyDescent="0.25">
      <c r="AZ303" s="23">
        <v>300</v>
      </c>
      <c r="BA303" s="23">
        <v>5.8823529411764705E-2</v>
      </c>
      <c r="BB303" s="23">
        <v>0</v>
      </c>
      <c r="BC303" s="23">
        <v>197</v>
      </c>
      <c r="BD303" s="23">
        <v>99.5</v>
      </c>
    </row>
    <row r="304" spans="52:56" x14ac:dyDescent="0.25">
      <c r="AZ304" s="24">
        <v>301</v>
      </c>
      <c r="BA304" s="24">
        <v>5.8823529411764705E-2</v>
      </c>
      <c r="BB304" s="24">
        <v>0</v>
      </c>
      <c r="BC304" s="24">
        <v>197</v>
      </c>
      <c r="BD304" s="24">
        <v>99.831666666666663</v>
      </c>
    </row>
    <row r="305" spans="52:56" x14ac:dyDescent="0.25">
      <c r="AZ305" s="24">
        <v>302</v>
      </c>
      <c r="BA305" s="24">
        <v>5.8823529411764705E-2</v>
      </c>
      <c r="BB305" s="24">
        <v>0</v>
      </c>
      <c r="BC305" s="24">
        <v>197</v>
      </c>
      <c r="BD305" s="24">
        <v>100.16333333333333</v>
      </c>
    </row>
    <row r="306" spans="52:56" x14ac:dyDescent="0.25">
      <c r="AZ306" s="24">
        <v>303</v>
      </c>
      <c r="BA306" s="24">
        <v>5.8823529411764705E-2</v>
      </c>
      <c r="BB306" s="24">
        <v>0</v>
      </c>
      <c r="BC306" s="24">
        <v>197</v>
      </c>
      <c r="BD306" s="24">
        <v>100.495</v>
      </c>
    </row>
    <row r="307" spans="52:56" x14ac:dyDescent="0.25">
      <c r="AZ307" s="24">
        <v>304</v>
      </c>
      <c r="BA307" s="24">
        <v>5.8823529411764705E-2</v>
      </c>
      <c r="BB307" s="24">
        <v>0</v>
      </c>
      <c r="BC307" s="24">
        <v>197</v>
      </c>
      <c r="BD307" s="24">
        <v>100.82666666666667</v>
      </c>
    </row>
    <row r="308" spans="52:56" x14ac:dyDescent="0.25">
      <c r="AZ308" s="24">
        <v>305</v>
      </c>
      <c r="BA308" s="24">
        <v>5.8823529411764705E-2</v>
      </c>
      <c r="BB308" s="24">
        <v>0</v>
      </c>
      <c r="BC308" s="24">
        <v>197</v>
      </c>
      <c r="BD308" s="24">
        <v>101.15833333333333</v>
      </c>
    </row>
    <row r="309" spans="52:56" x14ac:dyDescent="0.25">
      <c r="AZ309" s="24">
        <v>306</v>
      </c>
      <c r="BA309" s="24">
        <v>5.8823529411764705E-2</v>
      </c>
      <c r="BB309" s="24">
        <v>0</v>
      </c>
      <c r="BC309" s="24">
        <v>197</v>
      </c>
      <c r="BD309" s="24">
        <v>101.49</v>
      </c>
    </row>
    <row r="310" spans="52:56" x14ac:dyDescent="0.25">
      <c r="AZ310" s="24">
        <v>307</v>
      </c>
      <c r="BA310" s="24">
        <v>5.8823529411764705E-2</v>
      </c>
      <c r="BB310" s="24">
        <v>0</v>
      </c>
      <c r="BC310" s="24">
        <v>197</v>
      </c>
      <c r="BD310" s="24">
        <v>101.82166666666667</v>
      </c>
    </row>
    <row r="311" spans="52:56" x14ac:dyDescent="0.25">
      <c r="AZ311" s="24">
        <v>308</v>
      </c>
      <c r="BA311" s="24">
        <v>5.8823529411764705E-2</v>
      </c>
      <c r="BB311" s="24">
        <v>0</v>
      </c>
      <c r="BC311" s="24">
        <v>197</v>
      </c>
      <c r="BD311" s="24">
        <v>102.15333333333334</v>
      </c>
    </row>
    <row r="312" spans="52:56" x14ac:dyDescent="0.25">
      <c r="AZ312" s="24">
        <v>309</v>
      </c>
      <c r="BA312" s="24">
        <v>5.8823529411764705E-2</v>
      </c>
      <c r="BB312" s="24">
        <v>0</v>
      </c>
      <c r="BC312" s="24">
        <v>197</v>
      </c>
      <c r="BD312" s="24">
        <v>102.485</v>
      </c>
    </row>
    <row r="313" spans="52:56" x14ac:dyDescent="0.25">
      <c r="AZ313" s="24">
        <v>310</v>
      </c>
      <c r="BA313" s="24">
        <v>5.8823529411764705E-2</v>
      </c>
      <c r="BB313" s="24">
        <v>0</v>
      </c>
      <c r="BC313" s="24">
        <v>197</v>
      </c>
      <c r="BD313" s="24">
        <v>102.81666666666666</v>
      </c>
    </row>
    <row r="314" spans="52:56" x14ac:dyDescent="0.25">
      <c r="AZ314" s="24">
        <v>311</v>
      </c>
      <c r="BA314" s="24">
        <v>5.8823529411764705E-2</v>
      </c>
      <c r="BB314" s="24">
        <v>0</v>
      </c>
      <c r="BC314" s="24">
        <v>197</v>
      </c>
      <c r="BD314" s="24">
        <v>103.14833333333333</v>
      </c>
    </row>
    <row r="315" spans="52:56" x14ac:dyDescent="0.25">
      <c r="AZ315" s="24">
        <v>312</v>
      </c>
      <c r="BA315" s="24">
        <v>5.8823529411764705E-2</v>
      </c>
      <c r="BB315" s="24">
        <v>0</v>
      </c>
      <c r="BC315" s="24">
        <v>197</v>
      </c>
      <c r="BD315" s="24">
        <v>103.48</v>
      </c>
    </row>
    <row r="316" spans="52:56" x14ac:dyDescent="0.25">
      <c r="AZ316" s="24">
        <v>313</v>
      </c>
      <c r="BA316" s="24">
        <v>5.8823529411764705E-2</v>
      </c>
      <c r="BB316" s="24">
        <v>0</v>
      </c>
      <c r="BC316" s="24">
        <v>197</v>
      </c>
      <c r="BD316" s="24">
        <v>103.81166666666667</v>
      </c>
    </row>
    <row r="317" spans="52:56" x14ac:dyDescent="0.25">
      <c r="AZ317" s="24">
        <v>314</v>
      </c>
      <c r="BA317" s="24">
        <v>5.8823529411764705E-2</v>
      </c>
      <c r="BB317" s="24">
        <v>1</v>
      </c>
      <c r="BC317" s="24">
        <v>198</v>
      </c>
      <c r="BD317" s="24">
        <v>104.14333333333333</v>
      </c>
    </row>
    <row r="318" spans="52:56" x14ac:dyDescent="0.25">
      <c r="AZ318" s="24">
        <v>315</v>
      </c>
      <c r="BA318" s="24">
        <v>5.8823529411764705E-2</v>
      </c>
      <c r="BB318" s="24">
        <v>0</v>
      </c>
      <c r="BC318" s="24">
        <v>198</v>
      </c>
      <c r="BD318" s="24">
        <v>104.47499999999999</v>
      </c>
    </row>
    <row r="319" spans="52:56" x14ac:dyDescent="0.25">
      <c r="AZ319" s="24">
        <v>316</v>
      </c>
      <c r="BA319" s="24">
        <v>5.8823529411764705E-2</v>
      </c>
      <c r="BB319" s="24">
        <v>0</v>
      </c>
      <c r="BC319" s="24">
        <v>198</v>
      </c>
      <c r="BD319" s="24">
        <v>104.80666666666667</v>
      </c>
    </row>
    <row r="320" spans="52:56" x14ac:dyDescent="0.25">
      <c r="AZ320" s="24">
        <v>317</v>
      </c>
      <c r="BA320" s="24">
        <v>5.8823529411764705E-2</v>
      </c>
      <c r="BB320" s="24">
        <v>0</v>
      </c>
      <c r="BC320" s="24">
        <v>198</v>
      </c>
      <c r="BD320" s="24">
        <v>105.13833333333334</v>
      </c>
    </row>
    <row r="321" spans="52:56" x14ac:dyDescent="0.25">
      <c r="AZ321" s="24">
        <v>318</v>
      </c>
      <c r="BA321" s="24">
        <v>5.8823529411764705E-2</v>
      </c>
      <c r="BB321" s="24">
        <v>0</v>
      </c>
      <c r="BC321" s="24">
        <v>198</v>
      </c>
      <c r="BD321" s="24">
        <v>105.47</v>
      </c>
    </row>
    <row r="322" spans="52:56" x14ac:dyDescent="0.25">
      <c r="AZ322" s="24">
        <v>319</v>
      </c>
      <c r="BA322" s="24">
        <v>5.8823529411764705E-2</v>
      </c>
      <c r="BB322" s="24">
        <v>0</v>
      </c>
      <c r="BC322" s="24">
        <v>198</v>
      </c>
      <c r="BD322" s="24">
        <v>105.80166666666666</v>
      </c>
    </row>
    <row r="323" spans="52:56" x14ac:dyDescent="0.25">
      <c r="AZ323" s="24">
        <v>320</v>
      </c>
      <c r="BA323" s="24">
        <v>5.8823529411764705E-2</v>
      </c>
      <c r="BB323" s="24">
        <v>0</v>
      </c>
      <c r="BC323" s="24">
        <v>198</v>
      </c>
      <c r="BD323" s="24">
        <v>106.13333333333333</v>
      </c>
    </row>
    <row r="324" spans="52:56" x14ac:dyDescent="0.25">
      <c r="AZ324" s="24">
        <v>321</v>
      </c>
      <c r="BA324" s="24">
        <v>5.8823529411764705E-2</v>
      </c>
      <c r="BB324" s="24">
        <v>0</v>
      </c>
      <c r="BC324" s="24">
        <v>198</v>
      </c>
      <c r="BD324" s="24">
        <v>106.465</v>
      </c>
    </row>
    <row r="325" spans="52:56" x14ac:dyDescent="0.25">
      <c r="AZ325" s="24">
        <v>322</v>
      </c>
      <c r="BA325" s="24">
        <v>5.8823529411764705E-2</v>
      </c>
      <c r="BB325" s="24">
        <v>0</v>
      </c>
      <c r="BC325" s="24">
        <v>198</v>
      </c>
      <c r="BD325" s="24">
        <v>106.79666666666667</v>
      </c>
    </row>
    <row r="326" spans="52:56" x14ac:dyDescent="0.25">
      <c r="AZ326" s="24">
        <v>323</v>
      </c>
      <c r="BA326" s="24">
        <v>5.8823529411764705E-2</v>
      </c>
      <c r="BB326" s="24">
        <v>0</v>
      </c>
      <c r="BC326" s="24">
        <v>198</v>
      </c>
      <c r="BD326" s="24">
        <v>107.12833333333333</v>
      </c>
    </row>
    <row r="327" spans="52:56" x14ac:dyDescent="0.25">
      <c r="AZ327" s="24">
        <v>324</v>
      </c>
      <c r="BA327" s="24">
        <v>5.8823529411764705E-2</v>
      </c>
      <c r="BB327" s="24">
        <v>0</v>
      </c>
      <c r="BC327" s="24">
        <v>198</v>
      </c>
      <c r="BD327" s="24">
        <v>107.46</v>
      </c>
    </row>
    <row r="328" spans="52:56" x14ac:dyDescent="0.25">
      <c r="AZ328" s="24">
        <v>325</v>
      </c>
      <c r="BA328" s="24">
        <v>5.8823529411764705E-2</v>
      </c>
      <c r="BB328" s="24">
        <v>0</v>
      </c>
      <c r="BC328" s="24">
        <v>198</v>
      </c>
      <c r="BD328" s="24">
        <v>107.79166666666667</v>
      </c>
    </row>
    <row r="329" spans="52:56" x14ac:dyDescent="0.25">
      <c r="AZ329" s="24">
        <v>326</v>
      </c>
      <c r="BA329" s="24">
        <v>5.8823529411764705E-2</v>
      </c>
      <c r="BB329" s="24">
        <v>0</v>
      </c>
      <c r="BC329" s="24">
        <v>198</v>
      </c>
      <c r="BD329" s="24">
        <v>108.12333333333333</v>
      </c>
    </row>
    <row r="330" spans="52:56" x14ac:dyDescent="0.25">
      <c r="AZ330" s="24">
        <v>327</v>
      </c>
      <c r="BA330" s="24">
        <v>5.8823529411764705E-2</v>
      </c>
      <c r="BB330" s="24">
        <v>0</v>
      </c>
      <c r="BC330" s="24">
        <v>198</v>
      </c>
      <c r="BD330" s="24">
        <v>108.455</v>
      </c>
    </row>
    <row r="331" spans="52:56" x14ac:dyDescent="0.25">
      <c r="AZ331" s="24">
        <v>328</v>
      </c>
      <c r="BA331" s="24">
        <v>5.8823529411764705E-2</v>
      </c>
      <c r="BB331" s="24">
        <v>0</v>
      </c>
      <c r="BC331" s="24">
        <v>198</v>
      </c>
      <c r="BD331" s="24">
        <v>108.78666666666666</v>
      </c>
    </row>
    <row r="332" spans="52:56" x14ac:dyDescent="0.25">
      <c r="AZ332" s="24">
        <v>329</v>
      </c>
      <c r="BA332" s="24">
        <v>5.8823529411764705E-2</v>
      </c>
      <c r="BB332" s="24">
        <v>0</v>
      </c>
      <c r="BC332" s="24">
        <v>198</v>
      </c>
      <c r="BD332" s="24">
        <v>109.11833333333334</v>
      </c>
    </row>
    <row r="333" spans="52:56" x14ac:dyDescent="0.25">
      <c r="AZ333" s="24">
        <v>330</v>
      </c>
      <c r="BA333" s="24">
        <v>5.8823529411764705E-2</v>
      </c>
      <c r="BB333" s="24">
        <v>0</v>
      </c>
      <c r="BC333" s="24">
        <v>198</v>
      </c>
      <c r="BD333" s="24">
        <v>109.45</v>
      </c>
    </row>
    <row r="334" spans="52:56" x14ac:dyDescent="0.25">
      <c r="AZ334" s="24">
        <v>331</v>
      </c>
      <c r="BA334" s="24">
        <v>5.8823529411764705E-2</v>
      </c>
      <c r="BB334" s="24">
        <v>0</v>
      </c>
      <c r="BC334" s="24">
        <v>198</v>
      </c>
      <c r="BD334" s="24">
        <v>109.78166666666667</v>
      </c>
    </row>
    <row r="335" spans="52:56" x14ac:dyDescent="0.25">
      <c r="AZ335" s="24">
        <v>332</v>
      </c>
      <c r="BA335" s="24">
        <v>5.8823529411764705E-2</v>
      </c>
      <c r="BB335" s="24">
        <v>0</v>
      </c>
      <c r="BC335" s="24">
        <v>198</v>
      </c>
      <c r="BD335" s="24">
        <v>110.11333333333333</v>
      </c>
    </row>
    <row r="336" spans="52:56" x14ac:dyDescent="0.25">
      <c r="AZ336" s="24">
        <v>333</v>
      </c>
      <c r="BA336" s="24">
        <v>5.8823529411764705E-2</v>
      </c>
      <c r="BB336" s="24">
        <v>0</v>
      </c>
      <c r="BC336" s="24">
        <v>198</v>
      </c>
      <c r="BD336" s="24">
        <v>110.44499999999999</v>
      </c>
    </row>
    <row r="337" spans="52:56" x14ac:dyDescent="0.25">
      <c r="AZ337" s="24">
        <v>334</v>
      </c>
      <c r="BA337" s="24">
        <v>5.8823529411764705E-2</v>
      </c>
      <c r="BB337" s="24">
        <v>0</v>
      </c>
      <c r="BC337" s="24">
        <v>198</v>
      </c>
      <c r="BD337" s="24">
        <v>110.77666666666667</v>
      </c>
    </row>
    <row r="338" spans="52:56" x14ac:dyDescent="0.25">
      <c r="AZ338" s="24">
        <v>335</v>
      </c>
      <c r="BA338" s="24">
        <v>5.8823529411764705E-2</v>
      </c>
      <c r="BB338" s="24">
        <v>0</v>
      </c>
      <c r="BC338" s="24">
        <v>198</v>
      </c>
      <c r="BD338" s="24">
        <v>111.10833333333333</v>
      </c>
    </row>
    <row r="339" spans="52:56" x14ac:dyDescent="0.25">
      <c r="AZ339" s="24">
        <v>336</v>
      </c>
      <c r="BA339" s="24">
        <v>5.8823529411764705E-2</v>
      </c>
      <c r="BB339" s="24">
        <v>0</v>
      </c>
      <c r="BC339" s="24">
        <v>198</v>
      </c>
      <c r="BD339" s="24">
        <v>111.44</v>
      </c>
    </row>
    <row r="340" spans="52:56" x14ac:dyDescent="0.25">
      <c r="AZ340" s="24">
        <v>337</v>
      </c>
      <c r="BA340" s="24">
        <v>5.8823529411764705E-2</v>
      </c>
      <c r="BB340" s="24">
        <v>0</v>
      </c>
      <c r="BC340" s="24">
        <v>198</v>
      </c>
      <c r="BD340" s="24">
        <v>111.77166666666666</v>
      </c>
    </row>
    <row r="341" spans="52:56" x14ac:dyDescent="0.25">
      <c r="AZ341" s="24">
        <v>338</v>
      </c>
      <c r="BA341" s="24">
        <v>5.8823529411764705E-2</v>
      </c>
      <c r="BB341" s="24">
        <v>1</v>
      </c>
      <c r="BC341" s="24">
        <v>199</v>
      </c>
      <c r="BD341" s="24">
        <v>112.10333333333334</v>
      </c>
    </row>
    <row r="342" spans="52:56" x14ac:dyDescent="0.25">
      <c r="AZ342" s="24">
        <v>339</v>
      </c>
      <c r="BA342" s="24">
        <v>0</v>
      </c>
      <c r="BB342" s="24">
        <v>0</v>
      </c>
      <c r="BC342" s="24">
        <v>199</v>
      </c>
      <c r="BD342" s="24">
        <v>112.435</v>
      </c>
    </row>
    <row r="343" spans="52:56" x14ac:dyDescent="0.25">
      <c r="AZ343" s="24">
        <v>340</v>
      </c>
      <c r="BA343" s="24">
        <v>0</v>
      </c>
      <c r="BB343" s="24">
        <v>0</v>
      </c>
      <c r="BC343" s="24">
        <v>199</v>
      </c>
      <c r="BD343" s="24">
        <v>112.76666666666667</v>
      </c>
    </row>
    <row r="344" spans="52:56" x14ac:dyDescent="0.25">
      <c r="AZ344" s="24">
        <v>341</v>
      </c>
      <c r="BA344" s="24">
        <v>0</v>
      </c>
      <c r="BB344" s="24">
        <v>0</v>
      </c>
      <c r="BC344" s="24">
        <v>199</v>
      </c>
      <c r="BD344" s="24">
        <v>113.09833333333333</v>
      </c>
    </row>
    <row r="345" spans="52:56" x14ac:dyDescent="0.25">
      <c r="AZ345" s="24">
        <v>342</v>
      </c>
      <c r="BA345" s="24">
        <v>0</v>
      </c>
      <c r="BB345" s="24">
        <v>0</v>
      </c>
      <c r="BC345" s="24">
        <v>199</v>
      </c>
      <c r="BD345" s="24">
        <v>113.42999999999999</v>
      </c>
    </row>
    <row r="346" spans="52:56" x14ac:dyDescent="0.25">
      <c r="AZ346" s="24">
        <v>343</v>
      </c>
      <c r="BA346" s="24">
        <v>0</v>
      </c>
      <c r="BB346" s="24">
        <v>0</v>
      </c>
      <c r="BC346" s="24">
        <v>199</v>
      </c>
      <c r="BD346" s="24">
        <v>113.76166666666667</v>
      </c>
    </row>
    <row r="347" spans="52:56" x14ac:dyDescent="0.25">
      <c r="AZ347" s="24">
        <v>344</v>
      </c>
      <c r="BA347" s="24">
        <v>0</v>
      </c>
      <c r="BB347" s="24">
        <v>0</v>
      </c>
      <c r="BC347" s="24">
        <v>199</v>
      </c>
      <c r="BD347" s="24">
        <v>114.09333333333333</v>
      </c>
    </row>
    <row r="348" spans="52:56" x14ac:dyDescent="0.25">
      <c r="AZ348" s="24">
        <v>345</v>
      </c>
      <c r="BA348" s="24">
        <v>0</v>
      </c>
      <c r="BB348" s="24">
        <v>0</v>
      </c>
      <c r="BC348" s="24">
        <v>199</v>
      </c>
      <c r="BD348" s="24">
        <v>114.425</v>
      </c>
    </row>
    <row r="349" spans="52:56" x14ac:dyDescent="0.25">
      <c r="AZ349" s="24">
        <v>346</v>
      </c>
      <c r="BA349" s="24">
        <v>0</v>
      </c>
      <c r="BB349" s="24">
        <v>0</v>
      </c>
      <c r="BC349" s="24">
        <v>199</v>
      </c>
      <c r="BD349" s="24">
        <v>114.75666666666666</v>
      </c>
    </row>
    <row r="350" spans="52:56" x14ac:dyDescent="0.25">
      <c r="AZ350" s="24">
        <v>347</v>
      </c>
      <c r="BA350" s="24">
        <v>0</v>
      </c>
      <c r="BB350" s="24">
        <v>0</v>
      </c>
      <c r="BC350" s="24">
        <v>199</v>
      </c>
      <c r="BD350" s="24">
        <v>115.08833333333334</v>
      </c>
    </row>
    <row r="351" spans="52:56" x14ac:dyDescent="0.25">
      <c r="AZ351" s="24">
        <v>348</v>
      </c>
      <c r="BA351" s="24">
        <v>0</v>
      </c>
      <c r="BB351" s="24">
        <v>0</v>
      </c>
      <c r="BC351" s="24">
        <v>199</v>
      </c>
      <c r="BD351" s="24">
        <v>115.42</v>
      </c>
    </row>
    <row r="352" spans="52:56" x14ac:dyDescent="0.25">
      <c r="AZ352" s="24">
        <v>349</v>
      </c>
      <c r="BA352" s="24">
        <v>0</v>
      </c>
      <c r="BB352" s="24">
        <v>0</v>
      </c>
      <c r="BC352" s="24">
        <v>199</v>
      </c>
      <c r="BD352" s="24">
        <v>115.75166666666667</v>
      </c>
    </row>
    <row r="353" spans="52:56" x14ac:dyDescent="0.25">
      <c r="AZ353" s="24">
        <v>350</v>
      </c>
      <c r="BA353" s="24">
        <v>0</v>
      </c>
      <c r="BB353" s="24">
        <v>0</v>
      </c>
      <c r="BC353" s="24">
        <v>199</v>
      </c>
      <c r="BD353" s="24">
        <v>116.08333333333333</v>
      </c>
    </row>
    <row r="354" spans="52:56" x14ac:dyDescent="0.25">
      <c r="AZ354" s="24">
        <v>351</v>
      </c>
      <c r="BA354" s="24">
        <v>0</v>
      </c>
      <c r="BB354" s="24">
        <v>0</v>
      </c>
      <c r="BC354" s="24">
        <v>199</v>
      </c>
      <c r="BD354" s="24">
        <v>116.41500000000001</v>
      </c>
    </row>
    <row r="355" spans="52:56" x14ac:dyDescent="0.25">
      <c r="AZ355" s="24">
        <v>352</v>
      </c>
      <c r="BA355" s="24">
        <v>0</v>
      </c>
      <c r="BB355" s="24">
        <v>0</v>
      </c>
      <c r="BC355" s="24">
        <v>199</v>
      </c>
      <c r="BD355" s="24">
        <v>116.74666666666667</v>
      </c>
    </row>
    <row r="356" spans="52:56" x14ac:dyDescent="0.25">
      <c r="AZ356" s="24">
        <v>353</v>
      </c>
      <c r="BA356" s="24">
        <v>0</v>
      </c>
      <c r="BB356" s="24">
        <v>0</v>
      </c>
      <c r="BC356" s="24">
        <v>199</v>
      </c>
      <c r="BD356" s="24">
        <v>117.07833333333333</v>
      </c>
    </row>
    <row r="357" spans="52:56" x14ac:dyDescent="0.25">
      <c r="AZ357" s="24">
        <v>354</v>
      </c>
      <c r="BA357" s="24">
        <v>0</v>
      </c>
      <c r="BB357" s="24">
        <v>0</v>
      </c>
      <c r="BC357" s="24">
        <v>199</v>
      </c>
      <c r="BD357" s="24">
        <v>117.41</v>
      </c>
    </row>
    <row r="358" spans="52:56" x14ac:dyDescent="0.25">
      <c r="AZ358" s="24">
        <v>355</v>
      </c>
      <c r="BA358" s="24">
        <v>0</v>
      </c>
      <c r="BB358" s="24">
        <v>0</v>
      </c>
      <c r="BC358" s="24">
        <v>199</v>
      </c>
      <c r="BD358" s="24">
        <v>117.74166666666666</v>
      </c>
    </row>
    <row r="359" spans="52:56" x14ac:dyDescent="0.25">
      <c r="AZ359" s="24">
        <v>356</v>
      </c>
      <c r="BA359" s="24">
        <v>0</v>
      </c>
      <c r="BB359" s="24">
        <v>0</v>
      </c>
      <c r="BC359" s="24">
        <v>199</v>
      </c>
      <c r="BD359" s="24">
        <v>118.07333333333334</v>
      </c>
    </row>
    <row r="360" spans="52:56" x14ac:dyDescent="0.25">
      <c r="AZ360" s="24">
        <v>357</v>
      </c>
      <c r="BA360" s="24">
        <v>0</v>
      </c>
      <c r="BB360" s="24">
        <v>0</v>
      </c>
      <c r="BC360" s="24">
        <v>199</v>
      </c>
      <c r="BD360" s="24">
        <v>118.405</v>
      </c>
    </row>
    <row r="361" spans="52:56" x14ac:dyDescent="0.25">
      <c r="AZ361" s="24">
        <v>358</v>
      </c>
      <c r="BA361" s="24">
        <v>0</v>
      </c>
      <c r="BB361" s="24">
        <v>0</v>
      </c>
      <c r="BC361" s="24">
        <v>199</v>
      </c>
      <c r="BD361" s="24">
        <v>118.73666666666666</v>
      </c>
    </row>
    <row r="362" spans="52:56" x14ac:dyDescent="0.25">
      <c r="AZ362" s="24">
        <v>359</v>
      </c>
      <c r="BA362" s="24">
        <v>0</v>
      </c>
      <c r="BB362" s="24">
        <v>0</v>
      </c>
      <c r="BC362" s="24">
        <v>199</v>
      </c>
      <c r="BD362" s="24">
        <v>119.06833333333333</v>
      </c>
    </row>
    <row r="363" spans="52:56" x14ac:dyDescent="0.25">
      <c r="AZ363" s="24">
        <v>360</v>
      </c>
      <c r="BA363" s="24">
        <v>0</v>
      </c>
      <c r="BB363" s="24">
        <v>0</v>
      </c>
      <c r="BC363" s="24">
        <v>199</v>
      </c>
      <c r="BD363" s="24">
        <v>119.4</v>
      </c>
    </row>
    <row r="364" spans="52:56" x14ac:dyDescent="0.25">
      <c r="AZ364" s="23">
        <v>361</v>
      </c>
      <c r="BA364" s="23">
        <v>0</v>
      </c>
      <c r="BB364" s="23">
        <v>0</v>
      </c>
      <c r="BC364" s="23">
        <v>199</v>
      </c>
      <c r="BD364" s="23">
        <v>119.73166666666667</v>
      </c>
    </row>
    <row r="365" spans="52:56" x14ac:dyDescent="0.25">
      <c r="AZ365" s="23">
        <v>362</v>
      </c>
      <c r="BA365" s="23">
        <v>0</v>
      </c>
      <c r="BB365" s="23">
        <v>0</v>
      </c>
      <c r="BC365" s="23">
        <v>199</v>
      </c>
      <c r="BD365" s="23">
        <v>120.06333333333333</v>
      </c>
    </row>
    <row r="366" spans="52:56" x14ac:dyDescent="0.25">
      <c r="AZ366" s="23">
        <v>363</v>
      </c>
      <c r="BA366" s="23">
        <v>0</v>
      </c>
      <c r="BB366" s="23">
        <v>0</v>
      </c>
      <c r="BC366" s="23">
        <v>199</v>
      </c>
      <c r="BD366" s="23">
        <v>120.395</v>
      </c>
    </row>
    <row r="367" spans="52:56" x14ac:dyDescent="0.25">
      <c r="AZ367" s="23">
        <v>364</v>
      </c>
      <c r="BA367" s="23">
        <v>0</v>
      </c>
      <c r="BB367" s="23">
        <v>0</v>
      </c>
      <c r="BC367" s="23">
        <v>199</v>
      </c>
      <c r="BD367" s="23">
        <v>120.72666666666666</v>
      </c>
    </row>
    <row r="368" spans="52:56" x14ac:dyDescent="0.25">
      <c r="AZ368" s="23">
        <v>365</v>
      </c>
      <c r="BA368" s="23">
        <v>0</v>
      </c>
      <c r="BB368" s="23">
        <v>0</v>
      </c>
      <c r="BC368" s="23">
        <v>199</v>
      </c>
      <c r="BD368" s="23">
        <v>121.05833333333334</v>
      </c>
    </row>
    <row r="369" spans="52:56" x14ac:dyDescent="0.25">
      <c r="AZ369" s="23">
        <v>366</v>
      </c>
      <c r="BA369" s="23">
        <v>0</v>
      </c>
      <c r="BB369" s="23">
        <v>0</v>
      </c>
      <c r="BC369" s="23">
        <v>199</v>
      </c>
      <c r="BD369" s="23">
        <v>121.39</v>
      </c>
    </row>
    <row r="370" spans="52:56" x14ac:dyDescent="0.25">
      <c r="AZ370" s="23">
        <v>367</v>
      </c>
      <c r="BA370" s="23">
        <v>0</v>
      </c>
      <c r="BB370" s="23">
        <v>0</v>
      </c>
      <c r="BC370" s="23">
        <v>199</v>
      </c>
      <c r="BD370" s="23">
        <v>121.72166666666666</v>
      </c>
    </row>
    <row r="371" spans="52:56" x14ac:dyDescent="0.25">
      <c r="AZ371" s="23">
        <v>368</v>
      </c>
      <c r="BA371" s="23">
        <v>0</v>
      </c>
      <c r="BB371" s="23">
        <v>0</v>
      </c>
      <c r="BC371" s="23">
        <v>199</v>
      </c>
      <c r="BD371" s="23">
        <v>122.05333333333333</v>
      </c>
    </row>
    <row r="372" spans="52:56" x14ac:dyDescent="0.25">
      <c r="AZ372" s="23">
        <v>369</v>
      </c>
      <c r="BA372" s="23">
        <v>0</v>
      </c>
      <c r="BB372" s="23">
        <v>0</v>
      </c>
      <c r="BC372" s="23">
        <v>199</v>
      </c>
      <c r="BD372" s="23">
        <v>122.38500000000001</v>
      </c>
    </row>
    <row r="373" spans="52:56" x14ac:dyDescent="0.25">
      <c r="AZ373" s="23">
        <v>370</v>
      </c>
      <c r="BA373" s="23">
        <v>0</v>
      </c>
      <c r="BB373" s="23">
        <v>0</v>
      </c>
      <c r="BC373" s="23">
        <v>199</v>
      </c>
      <c r="BD373" s="23">
        <v>122.71666666666667</v>
      </c>
    </row>
    <row r="374" spans="52:56" x14ac:dyDescent="0.25">
      <c r="AZ374" s="23">
        <v>371</v>
      </c>
      <c r="BA374" s="23">
        <v>0</v>
      </c>
      <c r="BB374" s="23">
        <v>0</v>
      </c>
      <c r="BC374" s="23">
        <v>199</v>
      </c>
      <c r="BD374" s="23">
        <v>123.04833333333333</v>
      </c>
    </row>
    <row r="375" spans="52:56" x14ac:dyDescent="0.25">
      <c r="AZ375" s="23">
        <v>372</v>
      </c>
      <c r="BA375" s="23">
        <v>0</v>
      </c>
      <c r="BB375" s="23">
        <v>0</v>
      </c>
      <c r="BC375" s="23">
        <v>199</v>
      </c>
      <c r="BD375" s="23">
        <v>123.38</v>
      </c>
    </row>
    <row r="376" spans="52:56" x14ac:dyDescent="0.25">
      <c r="AZ376" s="23">
        <v>373</v>
      </c>
      <c r="BA376" s="23">
        <v>0</v>
      </c>
      <c r="BB376" s="23">
        <v>0</v>
      </c>
      <c r="BC376" s="23">
        <v>199</v>
      </c>
      <c r="BD376" s="23">
        <v>123.71166666666667</v>
      </c>
    </row>
    <row r="377" spans="52:56" x14ac:dyDescent="0.25">
      <c r="AZ377" s="23">
        <v>374</v>
      </c>
      <c r="BA377" s="23">
        <v>0</v>
      </c>
      <c r="BB377" s="23">
        <v>0</v>
      </c>
      <c r="BC377" s="23">
        <v>199</v>
      </c>
      <c r="BD377" s="23">
        <v>124.04333333333334</v>
      </c>
    </row>
    <row r="378" spans="52:56" x14ac:dyDescent="0.25">
      <c r="AZ378" s="23">
        <v>375</v>
      </c>
      <c r="BA378" s="23">
        <v>0</v>
      </c>
      <c r="BB378" s="23">
        <v>0</v>
      </c>
      <c r="BC378" s="23">
        <v>199</v>
      </c>
      <c r="BD378" s="23">
        <v>124.375</v>
      </c>
    </row>
    <row r="379" spans="52:56" x14ac:dyDescent="0.25">
      <c r="AZ379" s="23">
        <v>376</v>
      </c>
      <c r="BA379" s="23">
        <v>0</v>
      </c>
      <c r="BB379" s="23">
        <v>0</v>
      </c>
      <c r="BC379" s="23">
        <v>199</v>
      </c>
      <c r="BD379" s="23">
        <v>124.70666666666666</v>
      </c>
    </row>
    <row r="380" spans="52:56" x14ac:dyDescent="0.25">
      <c r="AZ380" s="23">
        <v>377</v>
      </c>
      <c r="BA380" s="23">
        <v>0</v>
      </c>
      <c r="BB380" s="23">
        <v>0</v>
      </c>
      <c r="BC380" s="23">
        <v>199</v>
      </c>
      <c r="BD380" s="23">
        <v>125.03833333333333</v>
      </c>
    </row>
    <row r="381" spans="52:56" x14ac:dyDescent="0.25">
      <c r="AZ381" s="23">
        <v>378</v>
      </c>
      <c r="BA381" s="23">
        <v>0</v>
      </c>
      <c r="BB381" s="23">
        <v>0</v>
      </c>
      <c r="BC381" s="23">
        <v>199</v>
      </c>
      <c r="BD381" s="23">
        <v>125.37</v>
      </c>
    </row>
    <row r="382" spans="52:56" x14ac:dyDescent="0.25">
      <c r="AZ382" s="23">
        <v>379</v>
      </c>
      <c r="BA382" s="23">
        <v>0</v>
      </c>
      <c r="BB382" s="23">
        <v>0</v>
      </c>
      <c r="BC382" s="23">
        <v>199</v>
      </c>
      <c r="BD382" s="23">
        <v>125.70166666666667</v>
      </c>
    </row>
    <row r="383" spans="52:56" x14ac:dyDescent="0.25">
      <c r="AZ383" s="23">
        <v>380</v>
      </c>
      <c r="BA383" s="23">
        <v>0</v>
      </c>
      <c r="BB383" s="23">
        <v>0</v>
      </c>
      <c r="BC383" s="23">
        <v>199</v>
      </c>
      <c r="BD383" s="23">
        <v>126.03333333333333</v>
      </c>
    </row>
    <row r="384" spans="52:56" x14ac:dyDescent="0.25">
      <c r="AZ384" s="23">
        <v>381</v>
      </c>
      <c r="BA384" s="23">
        <v>0</v>
      </c>
      <c r="BB384" s="23">
        <v>0</v>
      </c>
      <c r="BC384" s="23">
        <v>199</v>
      </c>
      <c r="BD384" s="23">
        <v>126.36499999999999</v>
      </c>
    </row>
    <row r="385" spans="52:56" x14ac:dyDescent="0.25">
      <c r="AZ385" s="23">
        <v>382</v>
      </c>
      <c r="BA385" s="23">
        <v>0</v>
      </c>
      <c r="BB385" s="23">
        <v>0</v>
      </c>
      <c r="BC385" s="23">
        <v>199</v>
      </c>
      <c r="BD385" s="23">
        <v>126.69666666666667</v>
      </c>
    </row>
    <row r="386" spans="52:56" x14ac:dyDescent="0.25">
      <c r="AZ386" s="23">
        <v>383</v>
      </c>
      <c r="BA386" s="23">
        <v>0</v>
      </c>
      <c r="BB386" s="23">
        <v>0</v>
      </c>
      <c r="BC386" s="23">
        <v>199</v>
      </c>
      <c r="BD386" s="23">
        <v>127.02833333333334</v>
      </c>
    </row>
    <row r="387" spans="52:56" x14ac:dyDescent="0.25">
      <c r="AZ387" s="23">
        <v>384</v>
      </c>
      <c r="BA387" s="23">
        <v>0</v>
      </c>
      <c r="BB387" s="23">
        <v>0</v>
      </c>
      <c r="BC387" s="23">
        <v>199</v>
      </c>
      <c r="BD387" s="23">
        <v>127.36</v>
      </c>
    </row>
    <row r="388" spans="52:56" x14ac:dyDescent="0.25">
      <c r="AZ388" s="23">
        <v>385</v>
      </c>
      <c r="BA388" s="23">
        <v>0</v>
      </c>
      <c r="BB388" s="23">
        <v>0</v>
      </c>
      <c r="BC388" s="23">
        <v>199</v>
      </c>
      <c r="BD388" s="23">
        <v>127.69166666666666</v>
      </c>
    </row>
    <row r="389" spans="52:56" x14ac:dyDescent="0.25">
      <c r="AZ389" s="23">
        <v>386</v>
      </c>
      <c r="BA389" s="23">
        <v>0</v>
      </c>
      <c r="BB389" s="23">
        <v>0</v>
      </c>
      <c r="BC389" s="23">
        <v>199</v>
      </c>
      <c r="BD389" s="23">
        <v>128.02333333333334</v>
      </c>
    </row>
    <row r="390" spans="52:56" x14ac:dyDescent="0.25">
      <c r="AZ390" s="23">
        <v>387</v>
      </c>
      <c r="BA390" s="23">
        <v>0</v>
      </c>
      <c r="BB390" s="23">
        <v>0</v>
      </c>
      <c r="BC390" s="23">
        <v>199</v>
      </c>
      <c r="BD390" s="23">
        <v>128.35499999999999</v>
      </c>
    </row>
    <row r="391" spans="52:56" x14ac:dyDescent="0.25">
      <c r="AZ391" s="23">
        <v>388</v>
      </c>
      <c r="BA391" s="23">
        <v>0</v>
      </c>
      <c r="BB391" s="23">
        <v>0</v>
      </c>
      <c r="BC391" s="23">
        <v>199</v>
      </c>
      <c r="BD391" s="23">
        <v>128.68666666666667</v>
      </c>
    </row>
    <row r="392" spans="52:56" x14ac:dyDescent="0.25">
      <c r="AZ392" s="23">
        <v>389</v>
      </c>
      <c r="BA392" s="23">
        <v>0</v>
      </c>
      <c r="BB392" s="23">
        <v>0</v>
      </c>
      <c r="BC392" s="23">
        <v>199</v>
      </c>
      <c r="BD392" s="23">
        <v>129.01833333333335</v>
      </c>
    </row>
    <row r="393" spans="52:56" x14ac:dyDescent="0.25">
      <c r="AZ393" s="23">
        <v>390</v>
      </c>
      <c r="BA393" s="23">
        <v>0</v>
      </c>
      <c r="BB393" s="23">
        <v>0</v>
      </c>
      <c r="BC393" s="23">
        <v>199</v>
      </c>
      <c r="BD393" s="23">
        <v>129.35</v>
      </c>
    </row>
    <row r="394" spans="52:56" x14ac:dyDescent="0.25">
      <c r="AZ394" s="23">
        <v>391</v>
      </c>
      <c r="BA394" s="23">
        <v>0</v>
      </c>
      <c r="BB394" s="23">
        <v>0</v>
      </c>
      <c r="BC394" s="23">
        <v>199</v>
      </c>
      <c r="BD394" s="23">
        <v>129.68166666666667</v>
      </c>
    </row>
    <row r="395" spans="52:56" x14ac:dyDescent="0.25">
      <c r="AZ395" s="23">
        <v>392</v>
      </c>
      <c r="BA395" s="23">
        <v>0</v>
      </c>
      <c r="BB395" s="23">
        <v>0</v>
      </c>
      <c r="BC395" s="23">
        <v>199</v>
      </c>
      <c r="BD395" s="23">
        <v>130.01333333333332</v>
      </c>
    </row>
    <row r="396" spans="52:56" x14ac:dyDescent="0.25">
      <c r="AZ396" s="23">
        <v>393</v>
      </c>
      <c r="BA396" s="23">
        <v>0</v>
      </c>
      <c r="BB396" s="23">
        <v>0</v>
      </c>
      <c r="BC396" s="23">
        <v>199</v>
      </c>
      <c r="BD396" s="23">
        <v>130.345</v>
      </c>
    </row>
    <row r="397" spans="52:56" x14ac:dyDescent="0.25">
      <c r="AZ397" s="23">
        <v>394</v>
      </c>
      <c r="BA397" s="23">
        <v>0</v>
      </c>
      <c r="BB397" s="23">
        <v>0</v>
      </c>
      <c r="BC397" s="23">
        <v>199</v>
      </c>
      <c r="BD397" s="23">
        <v>130.67666666666668</v>
      </c>
    </row>
    <row r="398" spans="52:56" x14ac:dyDescent="0.25">
      <c r="AZ398" s="23">
        <v>395</v>
      </c>
      <c r="BA398" s="23">
        <v>0</v>
      </c>
      <c r="BB398" s="23">
        <v>0</v>
      </c>
      <c r="BC398" s="23">
        <v>199</v>
      </c>
      <c r="BD398" s="23">
        <v>131.00833333333333</v>
      </c>
    </row>
    <row r="399" spans="52:56" x14ac:dyDescent="0.25">
      <c r="AZ399" s="23">
        <v>396</v>
      </c>
      <c r="BA399" s="23">
        <v>0</v>
      </c>
      <c r="BB399" s="23">
        <v>0</v>
      </c>
      <c r="BC399" s="23">
        <v>199</v>
      </c>
      <c r="BD399" s="23">
        <v>131.34</v>
      </c>
    </row>
    <row r="400" spans="52:56" x14ac:dyDescent="0.25">
      <c r="AZ400" s="23">
        <v>397</v>
      </c>
      <c r="BA400" s="23">
        <v>0</v>
      </c>
      <c r="BB400" s="23">
        <v>0</v>
      </c>
      <c r="BC400" s="23">
        <v>199</v>
      </c>
      <c r="BD400" s="23">
        <v>131.67166666666665</v>
      </c>
    </row>
    <row r="401" spans="52:56" x14ac:dyDescent="0.25">
      <c r="AZ401" s="23">
        <v>398</v>
      </c>
      <c r="BA401" s="23">
        <v>0</v>
      </c>
      <c r="BB401" s="23">
        <v>0</v>
      </c>
      <c r="BC401" s="23">
        <v>199</v>
      </c>
      <c r="BD401" s="23">
        <v>132.00333333333333</v>
      </c>
    </row>
    <row r="402" spans="52:56" x14ac:dyDescent="0.25">
      <c r="AZ402" s="23">
        <v>399</v>
      </c>
      <c r="BA402" s="23">
        <v>0</v>
      </c>
      <c r="BB402" s="23">
        <v>0</v>
      </c>
      <c r="BC402" s="23">
        <v>199</v>
      </c>
      <c r="BD402" s="23">
        <v>132.33500000000001</v>
      </c>
    </row>
    <row r="403" spans="52:56" x14ac:dyDescent="0.25">
      <c r="AZ403" s="23">
        <v>400</v>
      </c>
      <c r="BA403" s="23">
        <v>0</v>
      </c>
      <c r="BB403" s="23">
        <v>0</v>
      </c>
      <c r="BC403" s="23">
        <v>199</v>
      </c>
      <c r="BD403" s="23">
        <v>132.66666666666666</v>
      </c>
    </row>
    <row r="404" spans="52:56" x14ac:dyDescent="0.25">
      <c r="AZ404" s="23">
        <v>401</v>
      </c>
      <c r="BA404" s="23">
        <v>0</v>
      </c>
      <c r="BB404" s="23">
        <v>0</v>
      </c>
      <c r="BC404" s="23">
        <v>199</v>
      </c>
      <c r="BD404" s="23">
        <v>132.99833333333333</v>
      </c>
    </row>
    <row r="405" spans="52:56" x14ac:dyDescent="0.25">
      <c r="AZ405" s="23">
        <v>402</v>
      </c>
      <c r="BA405" s="23">
        <v>0</v>
      </c>
      <c r="BB405" s="23">
        <v>0</v>
      </c>
      <c r="BC405" s="23">
        <v>199</v>
      </c>
      <c r="BD405" s="23">
        <v>133.33000000000001</v>
      </c>
    </row>
    <row r="406" spans="52:56" x14ac:dyDescent="0.25">
      <c r="AZ406" s="23">
        <v>403</v>
      </c>
      <c r="BA406" s="23">
        <v>0</v>
      </c>
      <c r="BB406" s="23">
        <v>0</v>
      </c>
      <c r="BC406" s="23">
        <v>199</v>
      </c>
      <c r="BD406" s="23">
        <v>133.66166666666666</v>
      </c>
    </row>
    <row r="407" spans="52:56" x14ac:dyDescent="0.25">
      <c r="AZ407" s="23">
        <v>404</v>
      </c>
      <c r="BA407" s="23">
        <v>0</v>
      </c>
      <c r="BB407" s="23">
        <v>0</v>
      </c>
      <c r="BC407" s="23">
        <v>199</v>
      </c>
      <c r="BD407" s="23">
        <v>133.99333333333334</v>
      </c>
    </row>
    <row r="408" spans="52:56" x14ac:dyDescent="0.25">
      <c r="AZ408" s="23">
        <v>405</v>
      </c>
      <c r="BA408" s="23">
        <v>0</v>
      </c>
      <c r="BB408" s="23">
        <v>0</v>
      </c>
      <c r="BC408" s="23">
        <v>199</v>
      </c>
      <c r="BD408" s="23">
        <v>134.32499999999999</v>
      </c>
    </row>
    <row r="409" spans="52:56" x14ac:dyDescent="0.25">
      <c r="AZ409" s="23">
        <v>406</v>
      </c>
      <c r="BA409" s="23">
        <v>0</v>
      </c>
      <c r="BB409" s="23">
        <v>0</v>
      </c>
      <c r="BC409" s="23">
        <v>199</v>
      </c>
      <c r="BD409" s="23">
        <v>134.65666666666667</v>
      </c>
    </row>
    <row r="410" spans="52:56" x14ac:dyDescent="0.25">
      <c r="AZ410" s="23">
        <v>407</v>
      </c>
      <c r="BA410" s="23">
        <v>0</v>
      </c>
      <c r="BB410" s="23">
        <v>0</v>
      </c>
      <c r="BC410" s="23">
        <v>199</v>
      </c>
      <c r="BD410" s="23">
        <v>134.98833333333334</v>
      </c>
    </row>
    <row r="411" spans="52:56" x14ac:dyDescent="0.25">
      <c r="AZ411" s="23">
        <v>408</v>
      </c>
      <c r="BA411" s="23">
        <v>0</v>
      </c>
      <c r="BB411" s="23">
        <v>0</v>
      </c>
      <c r="BC411" s="23">
        <v>199</v>
      </c>
      <c r="BD411" s="23">
        <v>135.32</v>
      </c>
    </row>
    <row r="412" spans="52:56" x14ac:dyDescent="0.25">
      <c r="AZ412" s="23">
        <v>409</v>
      </c>
      <c r="BA412" s="23">
        <v>0</v>
      </c>
      <c r="BB412" s="23">
        <v>0</v>
      </c>
      <c r="BC412" s="23">
        <v>199</v>
      </c>
      <c r="BD412" s="23">
        <v>135.65166666666667</v>
      </c>
    </row>
    <row r="413" spans="52:56" x14ac:dyDescent="0.25">
      <c r="AZ413" s="23">
        <v>410</v>
      </c>
      <c r="BA413" s="23">
        <v>0</v>
      </c>
      <c r="BB413" s="23">
        <v>0</v>
      </c>
      <c r="BC413" s="23">
        <v>199</v>
      </c>
      <c r="BD413" s="23">
        <v>135.98333333333332</v>
      </c>
    </row>
    <row r="414" spans="52:56" x14ac:dyDescent="0.25">
      <c r="AZ414" s="23">
        <v>411</v>
      </c>
      <c r="BA414" s="23">
        <v>0</v>
      </c>
      <c r="BB414" s="23">
        <v>0</v>
      </c>
      <c r="BC414" s="23">
        <v>199</v>
      </c>
      <c r="BD414" s="23">
        <v>136.315</v>
      </c>
    </row>
    <row r="415" spans="52:56" x14ac:dyDescent="0.25">
      <c r="AZ415" s="23">
        <v>412</v>
      </c>
      <c r="BA415" s="23">
        <v>0</v>
      </c>
      <c r="BB415" s="23">
        <v>0</v>
      </c>
      <c r="BC415" s="23">
        <v>199</v>
      </c>
      <c r="BD415" s="23">
        <v>136.64666666666668</v>
      </c>
    </row>
    <row r="416" spans="52:56" x14ac:dyDescent="0.25">
      <c r="AZ416" s="23">
        <v>413</v>
      </c>
      <c r="BA416" s="23">
        <v>0</v>
      </c>
      <c r="BB416" s="23">
        <v>0</v>
      </c>
      <c r="BC416" s="23">
        <v>199</v>
      </c>
      <c r="BD416" s="23">
        <v>136.97833333333332</v>
      </c>
    </row>
    <row r="417" spans="52:56" x14ac:dyDescent="0.25">
      <c r="AZ417" s="23">
        <v>414</v>
      </c>
      <c r="BA417" s="23">
        <v>0</v>
      </c>
      <c r="BB417" s="23">
        <v>0</v>
      </c>
      <c r="BC417" s="23">
        <v>199</v>
      </c>
      <c r="BD417" s="23">
        <v>137.31</v>
      </c>
    </row>
    <row r="418" spans="52:56" x14ac:dyDescent="0.25">
      <c r="AZ418" s="23">
        <v>415</v>
      </c>
      <c r="BA418" s="23">
        <v>0</v>
      </c>
      <c r="BB418" s="23">
        <v>0</v>
      </c>
      <c r="BC418" s="23">
        <v>199</v>
      </c>
      <c r="BD418" s="23">
        <v>137.64166666666668</v>
      </c>
    </row>
    <row r="419" spans="52:56" x14ac:dyDescent="0.25">
      <c r="AZ419" s="23">
        <v>416</v>
      </c>
      <c r="BA419" s="23">
        <v>0</v>
      </c>
      <c r="BB419" s="23">
        <v>0</v>
      </c>
      <c r="BC419" s="23">
        <v>199</v>
      </c>
      <c r="BD419" s="23">
        <v>137.97333333333333</v>
      </c>
    </row>
    <row r="420" spans="52:56" x14ac:dyDescent="0.25">
      <c r="AZ420" s="23">
        <v>417</v>
      </c>
      <c r="BA420" s="23">
        <v>0</v>
      </c>
      <c r="BB420" s="23">
        <v>0</v>
      </c>
      <c r="BC420" s="23">
        <v>199</v>
      </c>
      <c r="BD420" s="23">
        <v>138.30500000000001</v>
      </c>
    </row>
    <row r="421" spans="52:56" x14ac:dyDescent="0.25">
      <c r="AZ421" s="23">
        <v>418</v>
      </c>
      <c r="BA421" s="23">
        <v>0</v>
      </c>
      <c r="BB421" s="23">
        <v>0</v>
      </c>
      <c r="BC421" s="23">
        <v>199</v>
      </c>
      <c r="BD421" s="23">
        <v>138.63666666666666</v>
      </c>
    </row>
    <row r="422" spans="52:56" x14ac:dyDescent="0.25">
      <c r="AZ422" s="23">
        <v>419</v>
      </c>
      <c r="BA422" s="23">
        <v>0</v>
      </c>
      <c r="BB422" s="23">
        <v>0</v>
      </c>
      <c r="BC422" s="23">
        <v>199</v>
      </c>
      <c r="BD422" s="23">
        <v>138.96833333333333</v>
      </c>
    </row>
    <row r="423" spans="52:56" x14ac:dyDescent="0.25">
      <c r="AZ423" s="23">
        <v>420</v>
      </c>
      <c r="BA423" s="23">
        <v>0</v>
      </c>
      <c r="BB423" s="23">
        <v>0</v>
      </c>
      <c r="BC423" s="23">
        <v>199</v>
      </c>
      <c r="BD423" s="23">
        <v>139.30000000000001</v>
      </c>
    </row>
    <row r="424" spans="52:56" x14ac:dyDescent="0.25">
      <c r="AZ424" s="24">
        <v>421</v>
      </c>
      <c r="BA424" s="24">
        <v>0</v>
      </c>
      <c r="BB424" s="24">
        <v>0</v>
      </c>
      <c r="BC424" s="24">
        <v>199</v>
      </c>
      <c r="BD424" s="24">
        <v>139.63166666666666</v>
      </c>
    </row>
    <row r="425" spans="52:56" x14ac:dyDescent="0.25">
      <c r="AZ425" s="24">
        <v>422</v>
      </c>
      <c r="BA425" s="24">
        <v>0</v>
      </c>
      <c r="BB425" s="24">
        <v>0</v>
      </c>
      <c r="BC425" s="24">
        <v>199</v>
      </c>
      <c r="BD425" s="24">
        <v>139.96333333333334</v>
      </c>
    </row>
    <row r="426" spans="52:56" x14ac:dyDescent="0.25">
      <c r="AZ426" s="24">
        <v>423</v>
      </c>
      <c r="BA426" s="24">
        <v>0</v>
      </c>
      <c r="BB426" s="24">
        <v>0</v>
      </c>
      <c r="BC426" s="24">
        <v>199</v>
      </c>
      <c r="BD426" s="24">
        <v>140.29499999999999</v>
      </c>
    </row>
    <row r="427" spans="52:56" x14ac:dyDescent="0.25">
      <c r="AZ427" s="24">
        <v>424</v>
      </c>
      <c r="BA427" s="24">
        <v>0</v>
      </c>
      <c r="BB427" s="24">
        <v>0</v>
      </c>
      <c r="BC427" s="24">
        <v>199</v>
      </c>
      <c r="BD427" s="24">
        <v>140.62666666666667</v>
      </c>
    </row>
    <row r="428" spans="52:56" x14ac:dyDescent="0.25">
      <c r="AZ428" s="24">
        <v>425</v>
      </c>
      <c r="BA428" s="24">
        <v>0</v>
      </c>
      <c r="BB428" s="24">
        <v>0</v>
      </c>
      <c r="BC428" s="24">
        <v>199</v>
      </c>
      <c r="BD428" s="24">
        <v>140.95833333333334</v>
      </c>
    </row>
    <row r="429" spans="52:56" x14ac:dyDescent="0.25">
      <c r="AZ429" s="24">
        <v>426</v>
      </c>
      <c r="BA429" s="24">
        <v>0</v>
      </c>
      <c r="BB429" s="24">
        <v>0</v>
      </c>
      <c r="BC429" s="24">
        <v>199</v>
      </c>
      <c r="BD429" s="24">
        <v>141.29</v>
      </c>
    </row>
    <row r="430" spans="52:56" x14ac:dyDescent="0.25">
      <c r="AZ430" s="24">
        <v>427</v>
      </c>
      <c r="BA430" s="24">
        <v>0</v>
      </c>
      <c r="BB430" s="24">
        <v>0</v>
      </c>
      <c r="BC430" s="24">
        <v>199</v>
      </c>
      <c r="BD430" s="24">
        <v>141.62166666666667</v>
      </c>
    </row>
    <row r="431" spans="52:56" x14ac:dyDescent="0.25">
      <c r="AZ431" s="24">
        <v>428</v>
      </c>
      <c r="BA431" s="24">
        <v>0</v>
      </c>
      <c r="BB431" s="24">
        <v>0</v>
      </c>
      <c r="BC431" s="24">
        <v>199</v>
      </c>
      <c r="BD431" s="24">
        <v>141.95333333333332</v>
      </c>
    </row>
    <row r="432" spans="52:56" x14ac:dyDescent="0.25">
      <c r="AZ432" s="24">
        <v>429</v>
      </c>
      <c r="BA432" s="24">
        <v>0</v>
      </c>
      <c r="BB432" s="24">
        <v>0</v>
      </c>
      <c r="BC432" s="24">
        <v>199</v>
      </c>
      <c r="BD432" s="24">
        <v>142.285</v>
      </c>
    </row>
    <row r="433" spans="52:56" x14ac:dyDescent="0.25">
      <c r="AZ433" s="24">
        <v>430</v>
      </c>
      <c r="BA433" s="24">
        <v>0</v>
      </c>
      <c r="BB433" s="24">
        <v>0</v>
      </c>
      <c r="BC433" s="24">
        <v>199</v>
      </c>
      <c r="BD433" s="24">
        <v>142.61666666666667</v>
      </c>
    </row>
    <row r="434" spans="52:56" x14ac:dyDescent="0.25">
      <c r="AZ434" s="24">
        <v>431</v>
      </c>
      <c r="BA434" s="24">
        <v>0</v>
      </c>
      <c r="BB434" s="24">
        <v>0</v>
      </c>
      <c r="BC434" s="24">
        <v>199</v>
      </c>
      <c r="BD434" s="24">
        <v>142.94833333333332</v>
      </c>
    </row>
    <row r="435" spans="52:56" x14ac:dyDescent="0.25">
      <c r="AZ435" s="24">
        <v>432</v>
      </c>
      <c r="BA435" s="24">
        <v>0</v>
      </c>
      <c r="BB435" s="24">
        <v>0</v>
      </c>
      <c r="BC435" s="24">
        <v>199</v>
      </c>
      <c r="BD435" s="24">
        <v>143.28</v>
      </c>
    </row>
    <row r="436" spans="52:56" x14ac:dyDescent="0.25">
      <c r="AZ436" s="24">
        <v>433</v>
      </c>
      <c r="BA436" s="24">
        <v>0</v>
      </c>
      <c r="BB436" s="24">
        <v>0</v>
      </c>
      <c r="BC436" s="24">
        <v>199</v>
      </c>
      <c r="BD436" s="24">
        <v>143.61166666666668</v>
      </c>
    </row>
    <row r="437" spans="52:56" x14ac:dyDescent="0.25">
      <c r="AZ437" s="24">
        <v>434</v>
      </c>
      <c r="BA437" s="24">
        <v>0</v>
      </c>
      <c r="BB437" s="24">
        <v>0</v>
      </c>
      <c r="BC437" s="24">
        <v>199</v>
      </c>
      <c r="BD437" s="24">
        <v>143.94333333333333</v>
      </c>
    </row>
    <row r="438" spans="52:56" x14ac:dyDescent="0.25">
      <c r="AZ438" s="24">
        <v>435</v>
      </c>
      <c r="BA438" s="24">
        <v>0</v>
      </c>
      <c r="BB438" s="24">
        <v>0</v>
      </c>
      <c r="BC438" s="24">
        <v>199</v>
      </c>
      <c r="BD438" s="24">
        <v>144.27500000000001</v>
      </c>
    </row>
    <row r="439" spans="52:56" x14ac:dyDescent="0.25">
      <c r="AZ439" s="24">
        <v>436</v>
      </c>
      <c r="BA439" s="24">
        <v>0</v>
      </c>
      <c r="BB439" s="24">
        <v>0</v>
      </c>
      <c r="BC439" s="24">
        <v>199</v>
      </c>
      <c r="BD439" s="24">
        <v>144.60666666666665</v>
      </c>
    </row>
    <row r="440" spans="52:56" x14ac:dyDescent="0.25">
      <c r="AZ440" s="24">
        <v>437</v>
      </c>
      <c r="BA440" s="24">
        <v>0</v>
      </c>
      <c r="BB440" s="24">
        <v>0</v>
      </c>
      <c r="BC440" s="24">
        <v>199</v>
      </c>
      <c r="BD440" s="24">
        <v>144.93833333333333</v>
      </c>
    </row>
    <row r="441" spans="52:56" x14ac:dyDescent="0.25">
      <c r="AZ441" s="24">
        <v>438</v>
      </c>
      <c r="BA441" s="24">
        <v>0</v>
      </c>
      <c r="BB441" s="24">
        <v>0</v>
      </c>
      <c r="BC441" s="24">
        <v>199</v>
      </c>
      <c r="BD441" s="24">
        <v>145.27000000000001</v>
      </c>
    </row>
    <row r="442" spans="52:56" x14ac:dyDescent="0.25">
      <c r="AZ442" s="24">
        <v>439</v>
      </c>
      <c r="BA442" s="24">
        <v>0</v>
      </c>
      <c r="BB442" s="24">
        <v>0</v>
      </c>
      <c r="BC442" s="24">
        <v>199</v>
      </c>
      <c r="BD442" s="24">
        <v>145.60166666666666</v>
      </c>
    </row>
    <row r="443" spans="52:56" x14ac:dyDescent="0.25">
      <c r="AZ443" s="24">
        <v>440</v>
      </c>
      <c r="BA443" s="24">
        <v>0</v>
      </c>
      <c r="BB443" s="24">
        <v>0</v>
      </c>
      <c r="BC443" s="24">
        <v>199</v>
      </c>
      <c r="BD443" s="24">
        <v>145.93333333333334</v>
      </c>
    </row>
    <row r="444" spans="52:56" x14ac:dyDescent="0.25">
      <c r="AZ444" s="24">
        <v>441</v>
      </c>
      <c r="BA444" s="24">
        <v>0</v>
      </c>
      <c r="BB444" s="24">
        <v>0</v>
      </c>
      <c r="BC444" s="24">
        <v>199</v>
      </c>
      <c r="BD444" s="24">
        <v>146.26499999999999</v>
      </c>
    </row>
    <row r="445" spans="52:56" x14ac:dyDescent="0.25">
      <c r="AZ445" s="24">
        <v>442</v>
      </c>
      <c r="BA445" s="24">
        <v>0</v>
      </c>
      <c r="BB445" s="24">
        <v>0</v>
      </c>
      <c r="BC445" s="24">
        <v>199</v>
      </c>
      <c r="BD445" s="24">
        <v>146.59666666666666</v>
      </c>
    </row>
    <row r="446" spans="52:56" x14ac:dyDescent="0.25">
      <c r="AZ446" s="24">
        <v>443</v>
      </c>
      <c r="BA446" s="24">
        <v>0</v>
      </c>
      <c r="BB446" s="24">
        <v>0</v>
      </c>
      <c r="BC446" s="24">
        <v>199</v>
      </c>
      <c r="BD446" s="24">
        <v>146.92833333333334</v>
      </c>
    </row>
    <row r="447" spans="52:56" x14ac:dyDescent="0.25">
      <c r="AZ447" s="24">
        <v>444</v>
      </c>
      <c r="BA447" s="24">
        <v>0</v>
      </c>
      <c r="BB447" s="24">
        <v>0</v>
      </c>
      <c r="BC447" s="24">
        <v>199</v>
      </c>
      <c r="BD447" s="24">
        <v>147.26</v>
      </c>
    </row>
    <row r="448" spans="52:56" x14ac:dyDescent="0.25">
      <c r="AZ448" s="24">
        <v>445</v>
      </c>
      <c r="BA448" s="24">
        <v>0</v>
      </c>
      <c r="BB448" s="24">
        <v>0</v>
      </c>
      <c r="BC448" s="24">
        <v>199</v>
      </c>
      <c r="BD448" s="24">
        <v>147.59166666666667</v>
      </c>
    </row>
    <row r="449" spans="52:56" x14ac:dyDescent="0.25">
      <c r="AZ449" s="24">
        <v>446</v>
      </c>
      <c r="BA449" s="24">
        <v>0</v>
      </c>
      <c r="BB449" s="24">
        <v>0</v>
      </c>
      <c r="BC449" s="24">
        <v>199</v>
      </c>
      <c r="BD449" s="24">
        <v>147.92333333333335</v>
      </c>
    </row>
    <row r="450" spans="52:56" x14ac:dyDescent="0.25">
      <c r="AZ450" s="24">
        <v>447</v>
      </c>
      <c r="BA450" s="24">
        <v>0</v>
      </c>
      <c r="BB450" s="24">
        <v>0</v>
      </c>
      <c r="BC450" s="24">
        <v>199</v>
      </c>
      <c r="BD450" s="24">
        <v>148.255</v>
      </c>
    </row>
    <row r="451" spans="52:56" x14ac:dyDescent="0.25">
      <c r="AZ451" s="24">
        <v>448</v>
      </c>
      <c r="BA451" s="24">
        <v>0</v>
      </c>
      <c r="BB451" s="24">
        <v>0</v>
      </c>
      <c r="BC451" s="24">
        <v>199</v>
      </c>
      <c r="BD451" s="24">
        <v>148.58666666666667</v>
      </c>
    </row>
    <row r="452" spans="52:56" x14ac:dyDescent="0.25">
      <c r="AZ452" s="24">
        <v>449</v>
      </c>
      <c r="BA452" s="24">
        <v>0</v>
      </c>
      <c r="BB452" s="24">
        <v>0</v>
      </c>
      <c r="BC452" s="24">
        <v>199</v>
      </c>
      <c r="BD452" s="24">
        <v>148.91833333333332</v>
      </c>
    </row>
    <row r="453" spans="52:56" x14ac:dyDescent="0.25">
      <c r="AZ453" s="24">
        <v>450</v>
      </c>
      <c r="BA453" s="24">
        <v>0</v>
      </c>
      <c r="BB453" s="24">
        <v>0</v>
      </c>
      <c r="BC453" s="24">
        <v>199</v>
      </c>
      <c r="BD453" s="24">
        <v>149.25</v>
      </c>
    </row>
    <row r="454" spans="52:56" x14ac:dyDescent="0.25">
      <c r="AZ454" s="24">
        <v>451</v>
      </c>
      <c r="BA454" s="24">
        <v>0</v>
      </c>
      <c r="BB454" s="24">
        <v>0</v>
      </c>
      <c r="BC454" s="24">
        <v>199</v>
      </c>
      <c r="BD454" s="24">
        <v>149.58166666666668</v>
      </c>
    </row>
    <row r="455" spans="52:56" x14ac:dyDescent="0.25">
      <c r="AZ455" s="24">
        <v>452</v>
      </c>
      <c r="BA455" s="24">
        <v>0</v>
      </c>
      <c r="BB455" s="24">
        <v>0</v>
      </c>
      <c r="BC455" s="24">
        <v>199</v>
      </c>
      <c r="BD455" s="24">
        <v>149.91333333333333</v>
      </c>
    </row>
    <row r="456" spans="52:56" x14ac:dyDescent="0.25">
      <c r="AZ456" s="24">
        <v>453</v>
      </c>
      <c r="BA456" s="24">
        <v>0</v>
      </c>
      <c r="BB456" s="24">
        <v>0</v>
      </c>
      <c r="BC456" s="24">
        <v>199</v>
      </c>
      <c r="BD456" s="24">
        <v>150.245</v>
      </c>
    </row>
    <row r="457" spans="52:56" x14ac:dyDescent="0.25">
      <c r="AZ457" s="24">
        <v>454</v>
      </c>
      <c r="BA457" s="24">
        <v>0</v>
      </c>
      <c r="BB457" s="24">
        <v>0</v>
      </c>
      <c r="BC457" s="24">
        <v>199</v>
      </c>
      <c r="BD457" s="24">
        <v>150.57666666666665</v>
      </c>
    </row>
    <row r="458" spans="52:56" x14ac:dyDescent="0.25">
      <c r="AZ458" s="24">
        <v>455</v>
      </c>
      <c r="BA458" s="24">
        <v>0</v>
      </c>
      <c r="BB458" s="24">
        <v>0</v>
      </c>
      <c r="BC458" s="24">
        <v>199</v>
      </c>
      <c r="BD458" s="24">
        <v>150.90833333333333</v>
      </c>
    </row>
    <row r="459" spans="52:56" x14ac:dyDescent="0.25">
      <c r="AZ459" s="24">
        <v>456</v>
      </c>
      <c r="BA459" s="24">
        <v>0</v>
      </c>
      <c r="BB459" s="24">
        <v>0</v>
      </c>
      <c r="BC459" s="24">
        <v>199</v>
      </c>
      <c r="BD459" s="24">
        <v>151.24</v>
      </c>
    </row>
    <row r="460" spans="52:56" x14ac:dyDescent="0.25">
      <c r="AZ460" s="24">
        <v>457</v>
      </c>
      <c r="BA460" s="24">
        <v>0</v>
      </c>
      <c r="BB460" s="24">
        <v>0</v>
      </c>
      <c r="BC460" s="24">
        <v>199</v>
      </c>
      <c r="BD460" s="24">
        <v>151.57166666666666</v>
      </c>
    </row>
    <row r="461" spans="52:56" x14ac:dyDescent="0.25">
      <c r="AZ461" s="24">
        <v>458</v>
      </c>
      <c r="BA461" s="24">
        <v>0</v>
      </c>
      <c r="BB461" s="24">
        <v>0</v>
      </c>
      <c r="BC461" s="24">
        <v>199</v>
      </c>
      <c r="BD461" s="24">
        <v>151.90333333333334</v>
      </c>
    </row>
    <row r="462" spans="52:56" x14ac:dyDescent="0.25">
      <c r="AZ462" s="24">
        <v>459</v>
      </c>
      <c r="BA462" s="24">
        <v>0</v>
      </c>
      <c r="BB462" s="24">
        <v>0</v>
      </c>
      <c r="BC462" s="24">
        <v>199</v>
      </c>
      <c r="BD462" s="24">
        <v>152.23499999999999</v>
      </c>
    </row>
    <row r="463" spans="52:56" x14ac:dyDescent="0.25">
      <c r="AZ463" s="24">
        <v>460</v>
      </c>
      <c r="BA463" s="24">
        <v>0</v>
      </c>
      <c r="BB463" s="24">
        <v>0</v>
      </c>
      <c r="BC463" s="24">
        <v>199</v>
      </c>
      <c r="BD463" s="24">
        <v>152.56666666666666</v>
      </c>
    </row>
    <row r="464" spans="52:56" x14ac:dyDescent="0.25">
      <c r="AZ464" s="24">
        <v>461</v>
      </c>
      <c r="BA464" s="24">
        <v>0</v>
      </c>
      <c r="BB464" s="24">
        <v>0</v>
      </c>
      <c r="BC464" s="24">
        <v>199</v>
      </c>
      <c r="BD464" s="24">
        <v>152.89833333333334</v>
      </c>
    </row>
    <row r="465" spans="52:56" x14ac:dyDescent="0.25">
      <c r="AZ465" s="24">
        <v>462</v>
      </c>
      <c r="BA465" s="24">
        <v>0</v>
      </c>
      <c r="BB465" s="24">
        <v>0</v>
      </c>
      <c r="BC465" s="24">
        <v>199</v>
      </c>
      <c r="BD465" s="24">
        <v>153.22999999999999</v>
      </c>
    </row>
    <row r="466" spans="52:56" x14ac:dyDescent="0.25">
      <c r="AZ466" s="24">
        <v>463</v>
      </c>
      <c r="BA466" s="24">
        <v>0</v>
      </c>
      <c r="BB466" s="24">
        <v>0</v>
      </c>
      <c r="BC466" s="24">
        <v>199</v>
      </c>
      <c r="BD466" s="24">
        <v>153.56166666666667</v>
      </c>
    </row>
    <row r="467" spans="52:56" x14ac:dyDescent="0.25">
      <c r="AZ467" s="24">
        <v>464</v>
      </c>
      <c r="BA467" s="24">
        <v>0</v>
      </c>
      <c r="BB467" s="24">
        <v>0</v>
      </c>
      <c r="BC467" s="24">
        <v>199</v>
      </c>
      <c r="BD467" s="24">
        <v>153.89333333333335</v>
      </c>
    </row>
    <row r="468" spans="52:56" x14ac:dyDescent="0.25">
      <c r="AZ468" s="24">
        <v>465</v>
      </c>
      <c r="BA468" s="24">
        <v>0</v>
      </c>
      <c r="BB468" s="24">
        <v>0</v>
      </c>
      <c r="BC468" s="24">
        <v>199</v>
      </c>
      <c r="BD468" s="24">
        <v>154.22499999999999</v>
      </c>
    </row>
    <row r="469" spans="52:56" x14ac:dyDescent="0.25">
      <c r="AZ469" s="24">
        <v>466</v>
      </c>
      <c r="BA469" s="24">
        <v>0</v>
      </c>
      <c r="BB469" s="24">
        <v>0</v>
      </c>
      <c r="BC469" s="24">
        <v>199</v>
      </c>
      <c r="BD469" s="24">
        <v>154.55666666666667</v>
      </c>
    </row>
    <row r="470" spans="52:56" x14ac:dyDescent="0.25">
      <c r="AZ470" s="24">
        <v>467</v>
      </c>
      <c r="BA470" s="24">
        <v>0</v>
      </c>
      <c r="BB470" s="24">
        <v>0</v>
      </c>
      <c r="BC470" s="24">
        <v>199</v>
      </c>
      <c r="BD470" s="24">
        <v>154.88833333333332</v>
      </c>
    </row>
    <row r="471" spans="52:56" x14ac:dyDescent="0.25">
      <c r="AZ471" s="24">
        <v>468</v>
      </c>
      <c r="BA471" s="24">
        <v>0</v>
      </c>
      <c r="BB471" s="24">
        <v>0</v>
      </c>
      <c r="BC471" s="24">
        <v>199</v>
      </c>
      <c r="BD471" s="24">
        <v>155.22</v>
      </c>
    </row>
    <row r="472" spans="52:56" x14ac:dyDescent="0.25">
      <c r="AZ472" s="24">
        <v>469</v>
      </c>
      <c r="BA472" s="24">
        <v>0</v>
      </c>
      <c r="BB472" s="24">
        <v>0</v>
      </c>
      <c r="BC472" s="24">
        <v>199</v>
      </c>
      <c r="BD472" s="24">
        <v>155.55166666666668</v>
      </c>
    </row>
    <row r="473" spans="52:56" x14ac:dyDescent="0.25">
      <c r="AZ473" s="24">
        <v>470</v>
      </c>
      <c r="BA473" s="24">
        <v>0</v>
      </c>
      <c r="BB473" s="24">
        <v>0</v>
      </c>
      <c r="BC473" s="24">
        <v>199</v>
      </c>
      <c r="BD473" s="24">
        <v>155.88333333333333</v>
      </c>
    </row>
    <row r="474" spans="52:56" x14ac:dyDescent="0.25">
      <c r="AZ474" s="24">
        <v>471</v>
      </c>
      <c r="BA474" s="24">
        <v>0</v>
      </c>
      <c r="BB474" s="24">
        <v>0</v>
      </c>
      <c r="BC474" s="24">
        <v>199</v>
      </c>
      <c r="BD474" s="24">
        <v>156.215</v>
      </c>
    </row>
    <row r="475" spans="52:56" x14ac:dyDescent="0.25">
      <c r="AZ475" s="24">
        <v>472</v>
      </c>
      <c r="BA475" s="24">
        <v>0</v>
      </c>
      <c r="BB475" s="24">
        <v>0</v>
      </c>
      <c r="BC475" s="24">
        <v>199</v>
      </c>
      <c r="BD475" s="24">
        <v>156.54666666666665</v>
      </c>
    </row>
    <row r="476" spans="52:56" x14ac:dyDescent="0.25">
      <c r="AZ476" s="24">
        <v>473</v>
      </c>
      <c r="BA476" s="24">
        <v>0</v>
      </c>
      <c r="BB476" s="24">
        <v>0</v>
      </c>
      <c r="BC476" s="24">
        <v>199</v>
      </c>
      <c r="BD476" s="24">
        <v>156.87833333333333</v>
      </c>
    </row>
    <row r="477" spans="52:56" x14ac:dyDescent="0.25">
      <c r="AZ477" s="24">
        <v>474</v>
      </c>
      <c r="BA477" s="24">
        <v>0</v>
      </c>
      <c r="BB477" s="24">
        <v>0</v>
      </c>
      <c r="BC477" s="24">
        <v>199</v>
      </c>
      <c r="BD477" s="24">
        <v>157.21</v>
      </c>
    </row>
    <row r="478" spans="52:56" x14ac:dyDescent="0.25">
      <c r="AZ478" s="24">
        <v>475</v>
      </c>
      <c r="BA478" s="24">
        <v>0</v>
      </c>
      <c r="BB478" s="24">
        <v>0</v>
      </c>
      <c r="BC478" s="24">
        <v>199</v>
      </c>
      <c r="BD478" s="24">
        <v>157.54166666666666</v>
      </c>
    </row>
    <row r="479" spans="52:56" x14ac:dyDescent="0.25">
      <c r="AZ479" s="24">
        <v>476</v>
      </c>
      <c r="BA479" s="24">
        <v>0</v>
      </c>
      <c r="BB479" s="24">
        <v>0</v>
      </c>
      <c r="BC479" s="24">
        <v>199</v>
      </c>
      <c r="BD479" s="24">
        <v>157.87333333333333</v>
      </c>
    </row>
    <row r="480" spans="52:56" x14ac:dyDescent="0.25">
      <c r="AZ480" s="24">
        <v>477</v>
      </c>
      <c r="BA480" s="24">
        <v>0</v>
      </c>
      <c r="BB480" s="24">
        <v>0</v>
      </c>
      <c r="BC480" s="24">
        <v>199</v>
      </c>
      <c r="BD480" s="24">
        <v>158.20500000000001</v>
      </c>
    </row>
    <row r="481" spans="52:56" x14ac:dyDescent="0.25">
      <c r="AZ481" s="24">
        <v>478</v>
      </c>
      <c r="BA481" s="24">
        <v>0</v>
      </c>
      <c r="BB481" s="24">
        <v>0</v>
      </c>
      <c r="BC481" s="24">
        <v>199</v>
      </c>
      <c r="BD481" s="24">
        <v>158.53666666666666</v>
      </c>
    </row>
    <row r="482" spans="52:56" x14ac:dyDescent="0.25">
      <c r="AZ482" s="24">
        <v>479</v>
      </c>
      <c r="BA482" s="24">
        <v>0</v>
      </c>
      <c r="BB482" s="24">
        <v>0</v>
      </c>
      <c r="BC482" s="24">
        <v>199</v>
      </c>
      <c r="BD482" s="24">
        <v>158.86833333333334</v>
      </c>
    </row>
    <row r="483" spans="52:56" x14ac:dyDescent="0.25">
      <c r="AZ483" s="24">
        <v>480</v>
      </c>
      <c r="BA483" s="24">
        <v>0</v>
      </c>
      <c r="BB483" s="24">
        <v>0</v>
      </c>
      <c r="BC483" s="24">
        <v>199</v>
      </c>
      <c r="BD483" s="24">
        <v>159.19999999999999</v>
      </c>
    </row>
    <row r="484" spans="52:56" x14ac:dyDescent="0.25">
      <c r="AZ484" s="23">
        <v>481</v>
      </c>
      <c r="BA484" s="23">
        <v>0</v>
      </c>
      <c r="BB484" s="23">
        <v>0</v>
      </c>
      <c r="BC484" s="23">
        <v>199</v>
      </c>
      <c r="BD484" s="23">
        <v>159.53166666666667</v>
      </c>
    </row>
    <row r="485" spans="52:56" x14ac:dyDescent="0.25">
      <c r="AZ485" s="23">
        <v>482</v>
      </c>
      <c r="BA485" s="23">
        <v>0</v>
      </c>
      <c r="BB485" s="23">
        <v>0</v>
      </c>
      <c r="BC485" s="23">
        <v>199</v>
      </c>
      <c r="BD485" s="23">
        <v>159.86333333333334</v>
      </c>
    </row>
    <row r="486" spans="52:56" x14ac:dyDescent="0.25">
      <c r="AZ486" s="23">
        <v>483</v>
      </c>
      <c r="BA486" s="23">
        <v>0</v>
      </c>
      <c r="BB486" s="23">
        <v>0</v>
      </c>
      <c r="BC486" s="23">
        <v>199</v>
      </c>
      <c r="BD486" s="23">
        <v>160.19499999999999</v>
      </c>
    </row>
    <row r="487" spans="52:56" x14ac:dyDescent="0.25">
      <c r="AZ487" s="23">
        <v>484</v>
      </c>
      <c r="BA487" s="23">
        <v>0</v>
      </c>
      <c r="BB487" s="23">
        <v>0</v>
      </c>
      <c r="BC487" s="23">
        <v>199</v>
      </c>
      <c r="BD487" s="23">
        <v>160.52666666666667</v>
      </c>
    </row>
    <row r="488" spans="52:56" x14ac:dyDescent="0.25">
      <c r="AZ488" s="23">
        <v>485</v>
      </c>
      <c r="BA488" s="23">
        <v>0</v>
      </c>
      <c r="BB488" s="23">
        <v>0</v>
      </c>
      <c r="BC488" s="23">
        <v>199</v>
      </c>
      <c r="BD488" s="23">
        <v>160.85833333333332</v>
      </c>
    </row>
    <row r="489" spans="52:56" x14ac:dyDescent="0.25">
      <c r="AZ489" s="23">
        <v>486</v>
      </c>
      <c r="BA489" s="23">
        <v>0</v>
      </c>
      <c r="BB489" s="23">
        <v>0</v>
      </c>
      <c r="BC489" s="23">
        <v>199</v>
      </c>
      <c r="BD489" s="23">
        <v>161.19</v>
      </c>
    </row>
    <row r="490" spans="52:56" x14ac:dyDescent="0.25">
      <c r="AZ490" s="23">
        <v>487</v>
      </c>
      <c r="BA490" s="23">
        <v>0</v>
      </c>
      <c r="BB490" s="23">
        <v>0</v>
      </c>
      <c r="BC490" s="23">
        <v>199</v>
      </c>
      <c r="BD490" s="23">
        <v>161.52166666666668</v>
      </c>
    </row>
    <row r="491" spans="52:56" x14ac:dyDescent="0.25">
      <c r="AZ491" s="23">
        <v>488</v>
      </c>
      <c r="BA491" s="23">
        <v>0</v>
      </c>
      <c r="BB491" s="23">
        <v>0</v>
      </c>
      <c r="BC491" s="23">
        <v>199</v>
      </c>
      <c r="BD491" s="23">
        <v>161.85333333333332</v>
      </c>
    </row>
    <row r="492" spans="52:56" x14ac:dyDescent="0.25">
      <c r="AZ492" s="23">
        <v>489</v>
      </c>
      <c r="BA492" s="23">
        <v>0</v>
      </c>
      <c r="BB492" s="23">
        <v>0</v>
      </c>
      <c r="BC492" s="23">
        <v>199</v>
      </c>
      <c r="BD492" s="23">
        <v>162.185</v>
      </c>
    </row>
    <row r="493" spans="52:56" x14ac:dyDescent="0.25">
      <c r="AZ493" s="23">
        <v>490</v>
      </c>
      <c r="BA493" s="23">
        <v>0</v>
      </c>
      <c r="BB493" s="23">
        <v>0</v>
      </c>
      <c r="BC493" s="23">
        <v>199</v>
      </c>
      <c r="BD493" s="23">
        <v>162.51666666666668</v>
      </c>
    </row>
    <row r="494" spans="52:56" x14ac:dyDescent="0.25">
      <c r="AZ494" s="23">
        <v>491</v>
      </c>
      <c r="BA494" s="23">
        <v>0</v>
      </c>
      <c r="BB494" s="23">
        <v>0</v>
      </c>
      <c r="BC494" s="23">
        <v>199</v>
      </c>
      <c r="BD494" s="23">
        <v>162.84833333333333</v>
      </c>
    </row>
    <row r="495" spans="52:56" x14ac:dyDescent="0.25">
      <c r="AZ495" s="23">
        <v>492</v>
      </c>
      <c r="BA495" s="23">
        <v>0</v>
      </c>
      <c r="BB495" s="23">
        <v>0</v>
      </c>
      <c r="BC495" s="23">
        <v>199</v>
      </c>
      <c r="BD495" s="23">
        <v>163.18</v>
      </c>
    </row>
    <row r="496" spans="52:56" x14ac:dyDescent="0.25">
      <c r="AZ496" s="23">
        <v>493</v>
      </c>
      <c r="BA496" s="23">
        <v>0</v>
      </c>
      <c r="BB496" s="23">
        <v>0</v>
      </c>
      <c r="BC496" s="23">
        <v>199</v>
      </c>
      <c r="BD496" s="23">
        <v>163.51166666666666</v>
      </c>
    </row>
    <row r="497" spans="52:56" x14ac:dyDescent="0.25">
      <c r="AZ497" s="23">
        <v>494</v>
      </c>
      <c r="BA497" s="23">
        <v>0</v>
      </c>
      <c r="BB497" s="23">
        <v>0</v>
      </c>
      <c r="BC497" s="23">
        <v>199</v>
      </c>
      <c r="BD497" s="23">
        <v>163.84333333333333</v>
      </c>
    </row>
    <row r="498" spans="52:56" x14ac:dyDescent="0.25">
      <c r="AZ498" s="23">
        <v>495</v>
      </c>
      <c r="BA498" s="23">
        <v>0</v>
      </c>
      <c r="BB498" s="23">
        <v>0</v>
      </c>
      <c r="BC498" s="23">
        <v>199</v>
      </c>
      <c r="BD498" s="23">
        <v>164.17500000000001</v>
      </c>
    </row>
    <row r="499" spans="52:56" x14ac:dyDescent="0.25">
      <c r="AZ499" s="23">
        <v>496</v>
      </c>
      <c r="BA499" s="23">
        <v>0</v>
      </c>
      <c r="BB499" s="23">
        <v>0</v>
      </c>
      <c r="BC499" s="23">
        <v>199</v>
      </c>
      <c r="BD499" s="23">
        <v>164.50666666666666</v>
      </c>
    </row>
    <row r="500" spans="52:56" x14ac:dyDescent="0.25">
      <c r="AZ500" s="23">
        <v>497</v>
      </c>
      <c r="BA500" s="23">
        <v>0</v>
      </c>
      <c r="BB500" s="23">
        <v>0</v>
      </c>
      <c r="BC500" s="23">
        <v>199</v>
      </c>
      <c r="BD500" s="23">
        <v>164.83833333333334</v>
      </c>
    </row>
    <row r="501" spans="52:56" x14ac:dyDescent="0.25">
      <c r="AZ501" s="23">
        <v>498</v>
      </c>
      <c r="BA501" s="23">
        <v>0</v>
      </c>
      <c r="BB501" s="23">
        <v>0</v>
      </c>
      <c r="BC501" s="23">
        <v>199</v>
      </c>
      <c r="BD501" s="23">
        <v>165.17</v>
      </c>
    </row>
    <row r="502" spans="52:56" x14ac:dyDescent="0.25">
      <c r="AZ502" s="23">
        <v>499</v>
      </c>
      <c r="BA502" s="23">
        <v>0</v>
      </c>
      <c r="BB502" s="23">
        <v>0</v>
      </c>
      <c r="BC502" s="23">
        <v>199</v>
      </c>
      <c r="BD502" s="23">
        <v>165.50166666666667</v>
      </c>
    </row>
    <row r="503" spans="52:56" x14ac:dyDescent="0.25">
      <c r="AZ503" s="23">
        <v>500</v>
      </c>
      <c r="BA503" s="23">
        <v>0</v>
      </c>
      <c r="BB503" s="23">
        <v>0</v>
      </c>
      <c r="BC503" s="23">
        <v>199</v>
      </c>
      <c r="BD503" s="23">
        <v>165.83333333333334</v>
      </c>
    </row>
    <row r="504" spans="52:56" x14ac:dyDescent="0.25">
      <c r="AZ504" s="23">
        <v>501</v>
      </c>
      <c r="BA504" s="23">
        <v>0</v>
      </c>
      <c r="BB504" s="23">
        <v>0</v>
      </c>
      <c r="BC504" s="23">
        <v>199</v>
      </c>
      <c r="BD504" s="23">
        <v>166.16499999999999</v>
      </c>
    </row>
    <row r="505" spans="52:56" x14ac:dyDescent="0.25">
      <c r="AZ505" s="23">
        <v>502</v>
      </c>
      <c r="BA505" s="23">
        <v>0</v>
      </c>
      <c r="BB505" s="23">
        <v>0</v>
      </c>
      <c r="BC505" s="23">
        <v>199</v>
      </c>
      <c r="BD505" s="23">
        <v>166.49666666666667</v>
      </c>
    </row>
    <row r="506" spans="52:56" x14ac:dyDescent="0.25">
      <c r="AZ506" s="23">
        <v>503</v>
      </c>
      <c r="BA506" s="23">
        <v>0</v>
      </c>
      <c r="BB506" s="23">
        <v>0</v>
      </c>
      <c r="BC506" s="23">
        <v>199</v>
      </c>
      <c r="BD506" s="23">
        <v>166.82833333333332</v>
      </c>
    </row>
    <row r="507" spans="52:56" x14ac:dyDescent="0.25">
      <c r="AZ507" s="23">
        <v>504</v>
      </c>
      <c r="BA507" s="23">
        <v>0</v>
      </c>
      <c r="BB507" s="23">
        <v>0</v>
      </c>
      <c r="BC507" s="23">
        <v>199</v>
      </c>
      <c r="BD507" s="23">
        <v>167.16</v>
      </c>
    </row>
    <row r="508" spans="52:56" x14ac:dyDescent="0.25">
      <c r="AZ508" s="23">
        <v>505</v>
      </c>
      <c r="BA508" s="23">
        <v>0</v>
      </c>
      <c r="BB508" s="23">
        <v>0</v>
      </c>
      <c r="BC508" s="23">
        <v>199</v>
      </c>
      <c r="BD508" s="23">
        <v>167.49166666666667</v>
      </c>
    </row>
    <row r="509" spans="52:56" x14ac:dyDescent="0.25">
      <c r="AZ509" s="23">
        <v>506</v>
      </c>
      <c r="BA509" s="23">
        <v>0</v>
      </c>
      <c r="BB509" s="23">
        <v>0</v>
      </c>
      <c r="BC509" s="23">
        <v>199</v>
      </c>
      <c r="BD509" s="23">
        <v>167.82333333333332</v>
      </c>
    </row>
    <row r="510" spans="52:56" x14ac:dyDescent="0.25">
      <c r="AZ510" s="23">
        <v>507</v>
      </c>
      <c r="BA510" s="23">
        <v>0</v>
      </c>
      <c r="BB510" s="23">
        <v>0</v>
      </c>
      <c r="BC510" s="23">
        <v>199</v>
      </c>
      <c r="BD510" s="23">
        <v>168.155</v>
      </c>
    </row>
    <row r="511" spans="52:56" x14ac:dyDescent="0.25">
      <c r="AZ511" s="23">
        <v>508</v>
      </c>
      <c r="BA511" s="23">
        <v>0</v>
      </c>
      <c r="BB511" s="23">
        <v>0</v>
      </c>
      <c r="BC511" s="23">
        <v>199</v>
      </c>
      <c r="BD511" s="23">
        <v>168.48666666666668</v>
      </c>
    </row>
    <row r="512" spans="52:56" x14ac:dyDescent="0.25">
      <c r="AZ512" s="23">
        <v>509</v>
      </c>
      <c r="BA512" s="23">
        <v>0</v>
      </c>
      <c r="BB512" s="23">
        <v>0</v>
      </c>
      <c r="BC512" s="23">
        <v>199</v>
      </c>
      <c r="BD512" s="23">
        <v>168.81833333333333</v>
      </c>
    </row>
    <row r="513" spans="52:56" x14ac:dyDescent="0.25">
      <c r="AZ513" s="23">
        <v>510</v>
      </c>
      <c r="BA513" s="23">
        <v>0</v>
      </c>
      <c r="BB513" s="23">
        <v>0</v>
      </c>
      <c r="BC513" s="23">
        <v>199</v>
      </c>
      <c r="BD513" s="23">
        <v>169.15</v>
      </c>
    </row>
    <row r="514" spans="52:56" x14ac:dyDescent="0.25">
      <c r="AZ514" s="23">
        <v>511</v>
      </c>
      <c r="BA514" s="23">
        <v>0</v>
      </c>
      <c r="BB514" s="23">
        <v>0</v>
      </c>
      <c r="BC514" s="23">
        <v>199</v>
      </c>
      <c r="BD514" s="23">
        <v>169.48166666666665</v>
      </c>
    </row>
    <row r="515" spans="52:56" x14ac:dyDescent="0.25">
      <c r="AZ515" s="23">
        <v>512</v>
      </c>
      <c r="BA515" s="23">
        <v>0</v>
      </c>
      <c r="BB515" s="23">
        <v>0</v>
      </c>
      <c r="BC515" s="23">
        <v>199</v>
      </c>
      <c r="BD515" s="23">
        <v>169.81333333333333</v>
      </c>
    </row>
    <row r="516" spans="52:56" x14ac:dyDescent="0.25">
      <c r="AZ516" s="23">
        <v>513</v>
      </c>
      <c r="BA516" s="23">
        <v>0</v>
      </c>
      <c r="BB516" s="23">
        <v>0</v>
      </c>
      <c r="BC516" s="23">
        <v>199</v>
      </c>
      <c r="BD516" s="23">
        <v>170.14500000000001</v>
      </c>
    </row>
    <row r="517" spans="52:56" x14ac:dyDescent="0.25">
      <c r="AZ517" s="23">
        <v>514</v>
      </c>
      <c r="BA517" s="23">
        <v>0</v>
      </c>
      <c r="BB517" s="23">
        <v>0</v>
      </c>
      <c r="BC517" s="23">
        <v>199</v>
      </c>
      <c r="BD517" s="23">
        <v>170.47666666666666</v>
      </c>
    </row>
    <row r="518" spans="52:56" x14ac:dyDescent="0.25">
      <c r="AZ518" s="23">
        <v>515</v>
      </c>
      <c r="BA518" s="23">
        <v>0</v>
      </c>
      <c r="BB518" s="23">
        <v>0</v>
      </c>
      <c r="BC518" s="23">
        <v>199</v>
      </c>
      <c r="BD518" s="23">
        <v>170.80833333333334</v>
      </c>
    </row>
    <row r="519" spans="52:56" x14ac:dyDescent="0.25">
      <c r="AZ519" s="23">
        <v>516</v>
      </c>
      <c r="BA519" s="23">
        <v>0</v>
      </c>
      <c r="BB519" s="23">
        <v>0</v>
      </c>
      <c r="BC519" s="23">
        <v>199</v>
      </c>
      <c r="BD519" s="23">
        <v>171.14</v>
      </c>
    </row>
    <row r="520" spans="52:56" x14ac:dyDescent="0.25">
      <c r="AZ520" s="23">
        <v>517</v>
      </c>
      <c r="BA520" s="23">
        <v>0</v>
      </c>
      <c r="BB520" s="23">
        <v>0</v>
      </c>
      <c r="BC520" s="23">
        <v>199</v>
      </c>
      <c r="BD520" s="23">
        <v>171.47166666666666</v>
      </c>
    </row>
    <row r="521" spans="52:56" x14ac:dyDescent="0.25">
      <c r="AZ521" s="23">
        <v>518</v>
      </c>
      <c r="BA521" s="23">
        <v>0</v>
      </c>
      <c r="BB521" s="23">
        <v>0</v>
      </c>
      <c r="BC521" s="23">
        <v>199</v>
      </c>
      <c r="BD521" s="23">
        <v>171.80333333333334</v>
      </c>
    </row>
    <row r="522" spans="52:56" x14ac:dyDescent="0.25">
      <c r="AZ522" s="23">
        <v>519</v>
      </c>
      <c r="BA522" s="23">
        <v>0</v>
      </c>
      <c r="BB522" s="23">
        <v>0</v>
      </c>
      <c r="BC522" s="23">
        <v>199</v>
      </c>
      <c r="BD522" s="23">
        <v>172.13499999999999</v>
      </c>
    </row>
    <row r="523" spans="52:56" x14ac:dyDescent="0.25">
      <c r="AZ523" s="23">
        <v>520</v>
      </c>
      <c r="BA523" s="23">
        <v>0</v>
      </c>
      <c r="BB523" s="23">
        <v>0</v>
      </c>
      <c r="BC523" s="23">
        <v>199</v>
      </c>
      <c r="BD523" s="23">
        <v>172.46666666666667</v>
      </c>
    </row>
    <row r="524" spans="52:56" x14ac:dyDescent="0.25">
      <c r="AZ524" s="23">
        <v>521</v>
      </c>
      <c r="BA524" s="23">
        <v>0</v>
      </c>
      <c r="BB524" s="23">
        <v>0</v>
      </c>
      <c r="BC524" s="23">
        <v>199</v>
      </c>
      <c r="BD524" s="23">
        <v>172.79833333333335</v>
      </c>
    </row>
    <row r="525" spans="52:56" x14ac:dyDescent="0.25">
      <c r="AZ525" s="23">
        <v>522</v>
      </c>
      <c r="BA525" s="23">
        <v>0</v>
      </c>
      <c r="BB525" s="23">
        <v>0</v>
      </c>
      <c r="BC525" s="23">
        <v>199</v>
      </c>
      <c r="BD525" s="23">
        <v>173.13</v>
      </c>
    </row>
    <row r="526" spans="52:56" x14ac:dyDescent="0.25">
      <c r="AZ526" s="23">
        <v>523</v>
      </c>
      <c r="BA526" s="23">
        <v>0</v>
      </c>
      <c r="BB526" s="23">
        <v>0</v>
      </c>
      <c r="BC526" s="23">
        <v>199</v>
      </c>
      <c r="BD526" s="23">
        <v>173.46166666666667</v>
      </c>
    </row>
    <row r="527" spans="52:56" x14ac:dyDescent="0.25">
      <c r="AZ527" s="23">
        <v>524</v>
      </c>
      <c r="BA527" s="23">
        <v>0</v>
      </c>
      <c r="BB527" s="23">
        <v>0</v>
      </c>
      <c r="BC527" s="23">
        <v>199</v>
      </c>
      <c r="BD527" s="23">
        <v>173.79333333333332</v>
      </c>
    </row>
    <row r="528" spans="52:56" x14ac:dyDescent="0.25">
      <c r="AZ528" s="23">
        <v>525</v>
      </c>
      <c r="BA528" s="23">
        <v>0</v>
      </c>
      <c r="BB528" s="23">
        <v>0</v>
      </c>
      <c r="BC528" s="23">
        <v>199</v>
      </c>
      <c r="BD528" s="23">
        <v>174.125</v>
      </c>
    </row>
    <row r="529" spans="52:56" x14ac:dyDescent="0.25">
      <c r="AZ529" s="23">
        <v>526</v>
      </c>
      <c r="BA529" s="23">
        <v>0</v>
      </c>
      <c r="BB529" s="23">
        <v>0</v>
      </c>
      <c r="BC529" s="23">
        <v>199</v>
      </c>
      <c r="BD529" s="23">
        <v>174.45666666666668</v>
      </c>
    </row>
    <row r="530" spans="52:56" x14ac:dyDescent="0.25">
      <c r="AZ530" s="23">
        <v>527</v>
      </c>
      <c r="BA530" s="23">
        <v>0</v>
      </c>
      <c r="BB530" s="23">
        <v>0</v>
      </c>
      <c r="BC530" s="23">
        <v>199</v>
      </c>
      <c r="BD530" s="23">
        <v>174.78833333333333</v>
      </c>
    </row>
    <row r="531" spans="52:56" x14ac:dyDescent="0.25">
      <c r="AZ531" s="23">
        <v>528</v>
      </c>
      <c r="BA531" s="23">
        <v>0</v>
      </c>
      <c r="BB531" s="23">
        <v>0</v>
      </c>
      <c r="BC531" s="23">
        <v>199</v>
      </c>
      <c r="BD531" s="23">
        <v>175.12</v>
      </c>
    </row>
    <row r="532" spans="52:56" x14ac:dyDescent="0.25">
      <c r="AZ532" s="23">
        <v>529</v>
      </c>
      <c r="BA532" s="23">
        <v>0</v>
      </c>
      <c r="BB532" s="23">
        <v>0</v>
      </c>
      <c r="BC532" s="23">
        <v>199</v>
      </c>
      <c r="BD532" s="23">
        <v>175.45166666666665</v>
      </c>
    </row>
    <row r="533" spans="52:56" x14ac:dyDescent="0.25">
      <c r="AZ533" s="23">
        <v>530</v>
      </c>
      <c r="BA533" s="23">
        <v>0</v>
      </c>
      <c r="BB533" s="23">
        <v>0</v>
      </c>
      <c r="BC533" s="23">
        <v>199</v>
      </c>
      <c r="BD533" s="23">
        <v>175.78333333333333</v>
      </c>
    </row>
    <row r="534" spans="52:56" x14ac:dyDescent="0.25">
      <c r="AZ534" s="23">
        <v>531</v>
      </c>
      <c r="BA534" s="23">
        <v>0</v>
      </c>
      <c r="BB534" s="23">
        <v>0</v>
      </c>
      <c r="BC534" s="23">
        <v>199</v>
      </c>
      <c r="BD534" s="23">
        <v>176.11500000000001</v>
      </c>
    </row>
    <row r="535" spans="52:56" x14ac:dyDescent="0.25">
      <c r="AZ535" s="23">
        <v>532</v>
      </c>
      <c r="BA535" s="23">
        <v>0</v>
      </c>
      <c r="BB535" s="23">
        <v>0</v>
      </c>
      <c r="BC535" s="23">
        <v>199</v>
      </c>
      <c r="BD535" s="23">
        <v>176.44666666666666</v>
      </c>
    </row>
    <row r="536" spans="52:56" x14ac:dyDescent="0.25">
      <c r="AZ536" s="23">
        <v>533</v>
      </c>
      <c r="BA536" s="23">
        <v>0</v>
      </c>
      <c r="BB536" s="23">
        <v>0</v>
      </c>
      <c r="BC536" s="23">
        <v>199</v>
      </c>
      <c r="BD536" s="23">
        <v>176.77833333333334</v>
      </c>
    </row>
    <row r="537" spans="52:56" x14ac:dyDescent="0.25">
      <c r="AZ537" s="23">
        <v>534</v>
      </c>
      <c r="BA537" s="23">
        <v>0</v>
      </c>
      <c r="BB537" s="23">
        <v>0</v>
      </c>
      <c r="BC537" s="23">
        <v>199</v>
      </c>
      <c r="BD537" s="23">
        <v>177.10999999999999</v>
      </c>
    </row>
    <row r="538" spans="52:56" x14ac:dyDescent="0.25">
      <c r="AZ538" s="23">
        <v>535</v>
      </c>
      <c r="BA538" s="23">
        <v>0</v>
      </c>
      <c r="BB538" s="23">
        <v>0</v>
      </c>
      <c r="BC538" s="23">
        <v>199</v>
      </c>
      <c r="BD538" s="23">
        <v>177.44166666666666</v>
      </c>
    </row>
    <row r="539" spans="52:56" x14ac:dyDescent="0.25">
      <c r="AZ539" s="23">
        <v>536</v>
      </c>
      <c r="BA539" s="23">
        <v>0</v>
      </c>
      <c r="BB539" s="23">
        <v>0</v>
      </c>
      <c r="BC539" s="23">
        <v>199</v>
      </c>
      <c r="BD539" s="23">
        <v>177.77333333333334</v>
      </c>
    </row>
    <row r="540" spans="52:56" x14ac:dyDescent="0.25">
      <c r="AZ540" s="23">
        <v>537</v>
      </c>
      <c r="BA540" s="23">
        <v>0</v>
      </c>
      <c r="BB540" s="23">
        <v>0</v>
      </c>
      <c r="BC540" s="23">
        <v>199</v>
      </c>
      <c r="BD540" s="23">
        <v>178.10499999999999</v>
      </c>
    </row>
    <row r="541" spans="52:56" x14ac:dyDescent="0.25">
      <c r="AZ541" s="23">
        <v>538</v>
      </c>
      <c r="BA541" s="23">
        <v>0</v>
      </c>
      <c r="BB541" s="23">
        <v>0</v>
      </c>
      <c r="BC541" s="23">
        <v>199</v>
      </c>
      <c r="BD541" s="23">
        <v>178.43666666666667</v>
      </c>
    </row>
    <row r="542" spans="52:56" x14ac:dyDescent="0.25">
      <c r="AZ542" s="23">
        <v>539</v>
      </c>
      <c r="BA542" s="23">
        <v>0</v>
      </c>
      <c r="BB542" s="23">
        <v>0</v>
      </c>
      <c r="BC542" s="23">
        <v>199</v>
      </c>
      <c r="BD542" s="23">
        <v>178.76833333333335</v>
      </c>
    </row>
    <row r="543" spans="52:56" x14ac:dyDescent="0.25">
      <c r="AZ543" s="23">
        <v>540</v>
      </c>
      <c r="BA543" s="23">
        <v>0</v>
      </c>
      <c r="BB543" s="23">
        <v>0</v>
      </c>
      <c r="BC543" s="23">
        <v>199</v>
      </c>
      <c r="BD543" s="23">
        <v>179.1</v>
      </c>
    </row>
    <row r="544" spans="52:56" x14ac:dyDescent="0.25">
      <c r="AZ544" s="24">
        <v>541</v>
      </c>
      <c r="BA544" s="24">
        <v>0</v>
      </c>
      <c r="BB544" s="24">
        <v>0</v>
      </c>
      <c r="BC544" s="24">
        <v>199</v>
      </c>
      <c r="BD544" s="24">
        <v>179.43166666666667</v>
      </c>
    </row>
    <row r="545" spans="52:56" x14ac:dyDescent="0.25">
      <c r="AZ545" s="24">
        <v>542</v>
      </c>
      <c r="BA545" s="24">
        <v>0</v>
      </c>
      <c r="BB545" s="24">
        <v>0</v>
      </c>
      <c r="BC545" s="24">
        <v>199</v>
      </c>
      <c r="BD545" s="24">
        <v>179.76333333333332</v>
      </c>
    </row>
    <row r="546" spans="52:56" x14ac:dyDescent="0.25">
      <c r="AZ546" s="24">
        <v>543</v>
      </c>
      <c r="BA546" s="24">
        <v>0</v>
      </c>
      <c r="BB546" s="24">
        <v>0</v>
      </c>
      <c r="BC546" s="24">
        <v>199</v>
      </c>
      <c r="BD546" s="24">
        <v>180.095</v>
      </c>
    </row>
    <row r="547" spans="52:56" x14ac:dyDescent="0.25">
      <c r="AZ547" s="24">
        <v>544</v>
      </c>
      <c r="BA547" s="24">
        <v>0</v>
      </c>
      <c r="BB547" s="24">
        <v>0</v>
      </c>
      <c r="BC547" s="24">
        <v>199</v>
      </c>
      <c r="BD547" s="24">
        <v>180.42666666666668</v>
      </c>
    </row>
    <row r="548" spans="52:56" x14ac:dyDescent="0.25">
      <c r="AZ548" s="24">
        <v>545</v>
      </c>
      <c r="BA548" s="24">
        <v>0</v>
      </c>
      <c r="BB548" s="24">
        <v>0</v>
      </c>
      <c r="BC548" s="24">
        <v>199</v>
      </c>
      <c r="BD548" s="24">
        <v>180.75833333333333</v>
      </c>
    </row>
    <row r="549" spans="52:56" x14ac:dyDescent="0.25">
      <c r="AZ549" s="24">
        <v>546</v>
      </c>
      <c r="BA549" s="24">
        <v>0</v>
      </c>
      <c r="BB549" s="24">
        <v>0</v>
      </c>
      <c r="BC549" s="24">
        <v>199</v>
      </c>
      <c r="BD549" s="24">
        <v>181.09</v>
      </c>
    </row>
    <row r="550" spans="52:56" x14ac:dyDescent="0.25">
      <c r="AZ550" s="24">
        <v>547</v>
      </c>
      <c r="BA550" s="24">
        <v>0</v>
      </c>
      <c r="BB550" s="24">
        <v>0</v>
      </c>
      <c r="BC550" s="24">
        <v>199</v>
      </c>
      <c r="BD550" s="24">
        <v>181.42166666666665</v>
      </c>
    </row>
    <row r="551" spans="52:56" x14ac:dyDescent="0.25">
      <c r="AZ551" s="24">
        <v>548</v>
      </c>
      <c r="BA551" s="24">
        <v>0</v>
      </c>
      <c r="BB551" s="24">
        <v>0</v>
      </c>
      <c r="BC551" s="24">
        <v>199</v>
      </c>
      <c r="BD551" s="24">
        <v>181.75333333333333</v>
      </c>
    </row>
    <row r="552" spans="52:56" x14ac:dyDescent="0.25">
      <c r="AZ552" s="24">
        <v>549</v>
      </c>
      <c r="BA552" s="24">
        <v>0</v>
      </c>
      <c r="BB552" s="24">
        <v>0</v>
      </c>
      <c r="BC552" s="24">
        <v>199</v>
      </c>
      <c r="BD552" s="24">
        <v>182.08500000000001</v>
      </c>
    </row>
    <row r="553" spans="52:56" x14ac:dyDescent="0.25">
      <c r="AZ553" s="24">
        <v>550</v>
      </c>
      <c r="BA553" s="24">
        <v>0</v>
      </c>
      <c r="BB553" s="24">
        <v>0</v>
      </c>
      <c r="BC553" s="24">
        <v>199</v>
      </c>
      <c r="BD553" s="24">
        <v>182.41666666666666</v>
      </c>
    </row>
    <row r="554" spans="52:56" x14ac:dyDescent="0.25">
      <c r="AZ554" s="24">
        <v>551</v>
      </c>
      <c r="BA554" s="24">
        <v>0</v>
      </c>
      <c r="BB554" s="24">
        <v>0</v>
      </c>
      <c r="BC554" s="24">
        <v>199</v>
      </c>
      <c r="BD554" s="24">
        <v>182.74833333333333</v>
      </c>
    </row>
    <row r="555" spans="52:56" x14ac:dyDescent="0.25">
      <c r="AZ555" s="24">
        <v>552</v>
      </c>
      <c r="BA555" s="24">
        <v>0</v>
      </c>
      <c r="BB555" s="24">
        <v>0</v>
      </c>
      <c r="BC555" s="24">
        <v>199</v>
      </c>
      <c r="BD555" s="24">
        <v>183.08</v>
      </c>
    </row>
    <row r="556" spans="52:56" x14ac:dyDescent="0.25">
      <c r="AZ556" s="24">
        <v>553</v>
      </c>
      <c r="BA556" s="24">
        <v>0</v>
      </c>
      <c r="BB556" s="24">
        <v>0</v>
      </c>
      <c r="BC556" s="24">
        <v>199</v>
      </c>
      <c r="BD556" s="24">
        <v>183.41166666666666</v>
      </c>
    </row>
    <row r="557" spans="52:56" x14ac:dyDescent="0.25">
      <c r="AZ557" s="24">
        <v>554</v>
      </c>
      <c r="BA557" s="24">
        <v>0</v>
      </c>
      <c r="BB557" s="24">
        <v>0</v>
      </c>
      <c r="BC557" s="24">
        <v>199</v>
      </c>
      <c r="BD557" s="24">
        <v>183.74333333333334</v>
      </c>
    </row>
    <row r="558" spans="52:56" x14ac:dyDescent="0.25">
      <c r="AZ558" s="24">
        <v>555</v>
      </c>
      <c r="BA558" s="24">
        <v>0</v>
      </c>
      <c r="BB558" s="24">
        <v>0</v>
      </c>
      <c r="BC558" s="24">
        <v>199</v>
      </c>
      <c r="BD558" s="24">
        <v>184.07499999999999</v>
      </c>
    </row>
    <row r="559" spans="52:56" x14ac:dyDescent="0.25">
      <c r="AZ559" s="24">
        <v>556</v>
      </c>
      <c r="BA559" s="24">
        <v>0</v>
      </c>
      <c r="BB559" s="24">
        <v>0</v>
      </c>
      <c r="BC559" s="24">
        <v>199</v>
      </c>
      <c r="BD559" s="24">
        <v>184.40666666666667</v>
      </c>
    </row>
    <row r="560" spans="52:56" x14ac:dyDescent="0.25">
      <c r="AZ560" s="24">
        <v>557</v>
      </c>
      <c r="BA560" s="24">
        <v>0</v>
      </c>
      <c r="BB560" s="24">
        <v>0</v>
      </c>
      <c r="BC560" s="24">
        <v>199</v>
      </c>
      <c r="BD560" s="24">
        <v>184.73833333333334</v>
      </c>
    </row>
    <row r="561" spans="52:56" x14ac:dyDescent="0.25">
      <c r="AZ561" s="24">
        <v>558</v>
      </c>
      <c r="BA561" s="24">
        <v>0</v>
      </c>
      <c r="BB561" s="24">
        <v>0</v>
      </c>
      <c r="BC561" s="24">
        <v>199</v>
      </c>
      <c r="BD561" s="24">
        <v>185.07</v>
      </c>
    </row>
    <row r="562" spans="52:56" x14ac:dyDescent="0.25">
      <c r="AZ562" s="24">
        <v>559</v>
      </c>
      <c r="BA562" s="24">
        <v>0</v>
      </c>
      <c r="BB562" s="24">
        <v>0</v>
      </c>
      <c r="BC562" s="24">
        <v>199</v>
      </c>
      <c r="BD562" s="24">
        <v>185.40166666666667</v>
      </c>
    </row>
    <row r="563" spans="52:56" x14ac:dyDescent="0.25">
      <c r="AZ563" s="24">
        <v>560</v>
      </c>
      <c r="BA563" s="24">
        <v>0</v>
      </c>
      <c r="BB563" s="24">
        <v>0</v>
      </c>
      <c r="BC563" s="24">
        <v>199</v>
      </c>
      <c r="BD563" s="24">
        <v>185.73333333333332</v>
      </c>
    </row>
    <row r="564" spans="52:56" x14ac:dyDescent="0.25">
      <c r="AZ564" s="24">
        <v>561</v>
      </c>
      <c r="BA564" s="24">
        <v>0</v>
      </c>
      <c r="BB564" s="24">
        <v>0</v>
      </c>
      <c r="BC564" s="24">
        <v>199</v>
      </c>
      <c r="BD564" s="24">
        <v>186.065</v>
      </c>
    </row>
    <row r="565" spans="52:56" x14ac:dyDescent="0.25">
      <c r="AZ565" s="24">
        <v>562</v>
      </c>
      <c r="BA565" s="24">
        <v>0</v>
      </c>
      <c r="BB565" s="24">
        <v>0</v>
      </c>
      <c r="BC565" s="24">
        <v>199</v>
      </c>
      <c r="BD565" s="24">
        <v>186.39666666666668</v>
      </c>
    </row>
    <row r="566" spans="52:56" x14ac:dyDescent="0.25">
      <c r="AZ566" s="24">
        <v>563</v>
      </c>
      <c r="BA566" s="24">
        <v>0</v>
      </c>
      <c r="BB566" s="24">
        <v>0</v>
      </c>
      <c r="BC566" s="24">
        <v>199</v>
      </c>
      <c r="BD566" s="24">
        <v>186.72833333333332</v>
      </c>
    </row>
    <row r="567" spans="52:56" x14ac:dyDescent="0.25">
      <c r="AZ567" s="24">
        <v>564</v>
      </c>
      <c r="BA567" s="24">
        <v>0</v>
      </c>
      <c r="BB567" s="24">
        <v>0</v>
      </c>
      <c r="BC567" s="24">
        <v>199</v>
      </c>
      <c r="BD567" s="24">
        <v>187.06</v>
      </c>
    </row>
    <row r="568" spans="52:56" x14ac:dyDescent="0.25">
      <c r="AZ568" s="24">
        <v>565</v>
      </c>
      <c r="BA568" s="24">
        <v>0</v>
      </c>
      <c r="BB568" s="24">
        <v>0</v>
      </c>
      <c r="BC568" s="24">
        <v>199</v>
      </c>
      <c r="BD568" s="24">
        <v>187.39166666666668</v>
      </c>
    </row>
    <row r="569" spans="52:56" x14ac:dyDescent="0.25">
      <c r="AZ569" s="24">
        <v>566</v>
      </c>
      <c r="BA569" s="24">
        <v>0</v>
      </c>
      <c r="BB569" s="24">
        <v>0</v>
      </c>
      <c r="BC569" s="24">
        <v>199</v>
      </c>
      <c r="BD569" s="24">
        <v>187.72333333333333</v>
      </c>
    </row>
    <row r="570" spans="52:56" x14ac:dyDescent="0.25">
      <c r="AZ570" s="24">
        <v>567</v>
      </c>
      <c r="BA570" s="24">
        <v>0</v>
      </c>
      <c r="BB570" s="24">
        <v>0</v>
      </c>
      <c r="BC570" s="24">
        <v>199</v>
      </c>
      <c r="BD570" s="24">
        <v>188.05500000000001</v>
      </c>
    </row>
    <row r="571" spans="52:56" x14ac:dyDescent="0.25">
      <c r="AZ571" s="24">
        <v>568</v>
      </c>
      <c r="BA571" s="24">
        <v>0</v>
      </c>
      <c r="BB571" s="24">
        <v>0</v>
      </c>
      <c r="BC571" s="24">
        <v>199</v>
      </c>
      <c r="BD571" s="24">
        <v>188.38666666666666</v>
      </c>
    </row>
    <row r="572" spans="52:56" x14ac:dyDescent="0.25">
      <c r="AZ572" s="24">
        <v>569</v>
      </c>
      <c r="BA572" s="24">
        <v>0</v>
      </c>
      <c r="BB572" s="24">
        <v>0</v>
      </c>
      <c r="BC572" s="24">
        <v>199</v>
      </c>
      <c r="BD572" s="24">
        <v>188.71833333333333</v>
      </c>
    </row>
    <row r="573" spans="52:56" x14ac:dyDescent="0.25">
      <c r="AZ573" s="24">
        <v>570</v>
      </c>
      <c r="BA573" s="24">
        <v>0</v>
      </c>
      <c r="BB573" s="24">
        <v>0</v>
      </c>
      <c r="BC573" s="24">
        <v>199</v>
      </c>
      <c r="BD573" s="24">
        <v>189.05</v>
      </c>
    </row>
    <row r="574" spans="52:56" x14ac:dyDescent="0.25">
      <c r="AZ574" s="24">
        <v>571</v>
      </c>
      <c r="BA574" s="24">
        <v>0</v>
      </c>
      <c r="BB574" s="24">
        <v>0</v>
      </c>
      <c r="BC574" s="24">
        <v>199</v>
      </c>
      <c r="BD574" s="24">
        <v>189.38166666666666</v>
      </c>
    </row>
    <row r="575" spans="52:56" x14ac:dyDescent="0.25">
      <c r="AZ575" s="24">
        <v>572</v>
      </c>
      <c r="BA575" s="24">
        <v>0</v>
      </c>
      <c r="BB575" s="24">
        <v>0</v>
      </c>
      <c r="BC575" s="24">
        <v>199</v>
      </c>
      <c r="BD575" s="24">
        <v>189.71333333333334</v>
      </c>
    </row>
    <row r="576" spans="52:56" x14ac:dyDescent="0.25">
      <c r="AZ576" s="24">
        <v>573</v>
      </c>
      <c r="BA576" s="24">
        <v>0</v>
      </c>
      <c r="BB576" s="24">
        <v>0</v>
      </c>
      <c r="BC576" s="24">
        <v>199</v>
      </c>
      <c r="BD576" s="24">
        <v>190.04499999999999</v>
      </c>
    </row>
    <row r="577" spans="52:56" x14ac:dyDescent="0.25">
      <c r="AZ577" s="24">
        <v>574</v>
      </c>
      <c r="BA577" s="24">
        <v>0</v>
      </c>
      <c r="BB577" s="24">
        <v>0</v>
      </c>
      <c r="BC577" s="24">
        <v>199</v>
      </c>
      <c r="BD577" s="24">
        <v>190.37666666666667</v>
      </c>
    </row>
    <row r="578" spans="52:56" x14ac:dyDescent="0.25">
      <c r="AZ578" s="24">
        <v>575</v>
      </c>
      <c r="BA578" s="24">
        <v>0</v>
      </c>
      <c r="BB578" s="24">
        <v>0</v>
      </c>
      <c r="BC578" s="24">
        <v>199</v>
      </c>
      <c r="BD578" s="24">
        <v>190.70833333333334</v>
      </c>
    </row>
    <row r="579" spans="52:56" x14ac:dyDescent="0.25">
      <c r="AZ579" s="24">
        <v>576</v>
      </c>
      <c r="BA579" s="24">
        <v>0</v>
      </c>
      <c r="BB579" s="24">
        <v>0</v>
      </c>
      <c r="BC579" s="24">
        <v>199</v>
      </c>
      <c r="BD579" s="24">
        <v>191.04</v>
      </c>
    </row>
    <row r="580" spans="52:56" x14ac:dyDescent="0.25">
      <c r="AZ580" s="24">
        <v>577</v>
      </c>
      <c r="BA580" s="24">
        <v>0</v>
      </c>
      <c r="BB580" s="24">
        <v>0</v>
      </c>
      <c r="BC580" s="24">
        <v>199</v>
      </c>
      <c r="BD580" s="24">
        <v>191.37166666666667</v>
      </c>
    </row>
    <row r="581" spans="52:56" x14ac:dyDescent="0.25">
      <c r="AZ581" s="24">
        <v>578</v>
      </c>
      <c r="BA581" s="24">
        <v>0</v>
      </c>
      <c r="BB581" s="24">
        <v>0</v>
      </c>
      <c r="BC581" s="24">
        <v>199</v>
      </c>
      <c r="BD581" s="24">
        <v>191.70333333333332</v>
      </c>
    </row>
    <row r="582" spans="52:56" x14ac:dyDescent="0.25">
      <c r="AZ582" s="24">
        <v>579</v>
      </c>
      <c r="BA582" s="24">
        <v>0</v>
      </c>
      <c r="BB582" s="24">
        <v>0</v>
      </c>
      <c r="BC582" s="24">
        <v>199</v>
      </c>
      <c r="BD582" s="24">
        <v>192.035</v>
      </c>
    </row>
    <row r="583" spans="52:56" x14ac:dyDescent="0.25">
      <c r="AZ583" s="24">
        <v>580</v>
      </c>
      <c r="BA583" s="24">
        <v>0</v>
      </c>
      <c r="BB583" s="24">
        <v>0</v>
      </c>
      <c r="BC583" s="24">
        <v>199</v>
      </c>
      <c r="BD583" s="24">
        <v>192.36666666666667</v>
      </c>
    </row>
    <row r="584" spans="52:56" x14ac:dyDescent="0.25">
      <c r="AZ584" s="24">
        <v>581</v>
      </c>
      <c r="BA584" s="24">
        <v>0</v>
      </c>
      <c r="BB584" s="24">
        <v>0</v>
      </c>
      <c r="BC584" s="24">
        <v>199</v>
      </c>
      <c r="BD584" s="24">
        <v>192.69833333333332</v>
      </c>
    </row>
    <row r="585" spans="52:56" x14ac:dyDescent="0.25">
      <c r="AZ585" s="24">
        <v>582</v>
      </c>
      <c r="BA585" s="24">
        <v>0</v>
      </c>
      <c r="BB585" s="24">
        <v>0</v>
      </c>
      <c r="BC585" s="24">
        <v>199</v>
      </c>
      <c r="BD585" s="24">
        <v>193.03</v>
      </c>
    </row>
    <row r="586" spans="52:56" x14ac:dyDescent="0.25">
      <c r="AZ586" s="24">
        <v>583</v>
      </c>
      <c r="BA586" s="24">
        <v>0</v>
      </c>
      <c r="BB586" s="24">
        <v>0</v>
      </c>
      <c r="BC586" s="24">
        <v>199</v>
      </c>
      <c r="BD586" s="24">
        <v>193.36166666666668</v>
      </c>
    </row>
    <row r="587" spans="52:56" x14ac:dyDescent="0.25">
      <c r="AZ587" s="24">
        <v>584</v>
      </c>
      <c r="BA587" s="24">
        <v>0</v>
      </c>
      <c r="BB587" s="24">
        <v>0</v>
      </c>
      <c r="BC587" s="24">
        <v>199</v>
      </c>
      <c r="BD587" s="24">
        <v>193.69333333333333</v>
      </c>
    </row>
    <row r="588" spans="52:56" x14ac:dyDescent="0.25">
      <c r="AZ588" s="24">
        <v>585</v>
      </c>
      <c r="BA588" s="24">
        <v>0</v>
      </c>
      <c r="BB588" s="24">
        <v>0</v>
      </c>
      <c r="BC588" s="24">
        <v>199</v>
      </c>
      <c r="BD588" s="24">
        <v>194.02500000000001</v>
      </c>
    </row>
    <row r="589" spans="52:56" x14ac:dyDescent="0.25">
      <c r="AZ589" s="24">
        <v>586</v>
      </c>
      <c r="BA589" s="24">
        <v>0</v>
      </c>
      <c r="BB589" s="24">
        <v>0</v>
      </c>
      <c r="BC589" s="24">
        <v>199</v>
      </c>
      <c r="BD589" s="24">
        <v>194.35666666666665</v>
      </c>
    </row>
    <row r="590" spans="52:56" x14ac:dyDescent="0.25">
      <c r="AZ590" s="24">
        <v>587</v>
      </c>
      <c r="BA590" s="24">
        <v>0</v>
      </c>
      <c r="BB590" s="24">
        <v>0</v>
      </c>
      <c r="BC590" s="24">
        <v>199</v>
      </c>
      <c r="BD590" s="24">
        <v>194.68833333333333</v>
      </c>
    </row>
    <row r="591" spans="52:56" x14ac:dyDescent="0.25">
      <c r="AZ591" s="24">
        <v>588</v>
      </c>
      <c r="BA591" s="24">
        <v>0</v>
      </c>
      <c r="BB591" s="24">
        <v>0</v>
      </c>
      <c r="BC591" s="24">
        <v>199</v>
      </c>
      <c r="BD591" s="24">
        <v>195.02</v>
      </c>
    </row>
    <row r="592" spans="52:56" x14ac:dyDescent="0.25">
      <c r="AZ592" s="24">
        <v>589</v>
      </c>
      <c r="BA592" s="24">
        <v>0</v>
      </c>
      <c r="BB592" s="24">
        <v>0</v>
      </c>
      <c r="BC592" s="24">
        <v>199</v>
      </c>
      <c r="BD592" s="24">
        <v>195.35166666666666</v>
      </c>
    </row>
    <row r="593" spans="52:56" x14ac:dyDescent="0.25">
      <c r="AZ593" s="24">
        <v>590</v>
      </c>
      <c r="BA593" s="24">
        <v>0</v>
      </c>
      <c r="BB593" s="24">
        <v>0</v>
      </c>
      <c r="BC593" s="24">
        <v>199</v>
      </c>
      <c r="BD593" s="24">
        <v>195.68333333333334</v>
      </c>
    </row>
    <row r="594" spans="52:56" x14ac:dyDescent="0.25">
      <c r="AZ594" s="24">
        <v>591</v>
      </c>
      <c r="BA594" s="24">
        <v>0</v>
      </c>
      <c r="BB594" s="24">
        <v>0</v>
      </c>
      <c r="BC594" s="24">
        <v>199</v>
      </c>
      <c r="BD594" s="24">
        <v>196.01499999999999</v>
      </c>
    </row>
    <row r="595" spans="52:56" x14ac:dyDescent="0.25">
      <c r="AZ595" s="24">
        <v>592</v>
      </c>
      <c r="BA595" s="24">
        <v>0</v>
      </c>
      <c r="BB595" s="24">
        <v>0</v>
      </c>
      <c r="BC595" s="24">
        <v>199</v>
      </c>
      <c r="BD595" s="24">
        <v>196.34666666666666</v>
      </c>
    </row>
    <row r="596" spans="52:56" x14ac:dyDescent="0.25">
      <c r="AZ596" s="24">
        <v>593</v>
      </c>
      <c r="BA596" s="24">
        <v>0</v>
      </c>
      <c r="BB596" s="24">
        <v>0</v>
      </c>
      <c r="BC596" s="24">
        <v>199</v>
      </c>
      <c r="BD596" s="24">
        <v>196.67833333333334</v>
      </c>
    </row>
    <row r="597" spans="52:56" x14ac:dyDescent="0.25">
      <c r="AZ597" s="24">
        <v>594</v>
      </c>
      <c r="BA597" s="24">
        <v>0</v>
      </c>
      <c r="BB597" s="24">
        <v>0</v>
      </c>
      <c r="BC597" s="24">
        <v>199</v>
      </c>
      <c r="BD597" s="24">
        <v>197.01</v>
      </c>
    </row>
    <row r="598" spans="52:56" x14ac:dyDescent="0.25">
      <c r="AZ598" s="24">
        <v>595</v>
      </c>
      <c r="BA598" s="24">
        <v>0</v>
      </c>
      <c r="BB598" s="24">
        <v>0</v>
      </c>
      <c r="BC598" s="24">
        <v>199</v>
      </c>
      <c r="BD598" s="24">
        <v>197.34166666666667</v>
      </c>
    </row>
    <row r="599" spans="52:56" x14ac:dyDescent="0.25">
      <c r="AZ599" s="24">
        <v>596</v>
      </c>
      <c r="BA599" s="24">
        <v>0</v>
      </c>
      <c r="BB599" s="24">
        <v>0</v>
      </c>
      <c r="BC599" s="24">
        <v>199</v>
      </c>
      <c r="BD599" s="24">
        <v>197.67333333333335</v>
      </c>
    </row>
    <row r="600" spans="52:56" x14ac:dyDescent="0.25">
      <c r="AZ600" s="24">
        <v>597</v>
      </c>
      <c r="BA600" s="24">
        <v>0</v>
      </c>
      <c r="BB600" s="24">
        <v>0</v>
      </c>
      <c r="BC600" s="24">
        <v>199</v>
      </c>
      <c r="BD600" s="24">
        <v>198.005</v>
      </c>
    </row>
    <row r="601" spans="52:56" x14ac:dyDescent="0.25">
      <c r="AZ601" s="24">
        <v>598</v>
      </c>
      <c r="BA601" s="24">
        <v>0</v>
      </c>
      <c r="BB601" s="24">
        <v>0</v>
      </c>
      <c r="BC601" s="24">
        <v>199</v>
      </c>
      <c r="BD601" s="24">
        <v>198.33666666666667</v>
      </c>
    </row>
    <row r="602" spans="52:56" x14ac:dyDescent="0.25">
      <c r="AZ602" s="24">
        <v>599</v>
      </c>
      <c r="BA602" s="24">
        <v>0</v>
      </c>
      <c r="BB602" s="24">
        <v>0</v>
      </c>
      <c r="BC602" s="24">
        <v>199</v>
      </c>
      <c r="BD602" s="24">
        <v>198.66833333333332</v>
      </c>
    </row>
    <row r="603" spans="52:56" x14ac:dyDescent="0.25">
      <c r="AZ603" s="24">
        <v>600</v>
      </c>
      <c r="BA603" s="24">
        <v>0</v>
      </c>
      <c r="BB603" s="24">
        <v>0</v>
      </c>
      <c r="BC603" s="24">
        <v>199</v>
      </c>
      <c r="BD603" s="24">
        <v>199</v>
      </c>
    </row>
  </sheetData>
  <mergeCells count="12">
    <mergeCell ref="B4:K4"/>
    <mergeCell ref="N4:Q4"/>
    <mergeCell ref="B5:C5"/>
    <mergeCell ref="D5:E5"/>
    <mergeCell ref="F5:G5"/>
    <mergeCell ref="H5:I5"/>
    <mergeCell ref="J5:K5"/>
    <mergeCell ref="B6:C6"/>
    <mergeCell ref="D6:E6"/>
    <mergeCell ref="F6:G6"/>
    <mergeCell ref="H6:I6"/>
    <mergeCell ref="J6:K6"/>
  </mergeCells>
  <hyperlinks>
    <hyperlink ref="B5" location="'KNNC_NewScore'!$B$12:$B$12" display="New Data Detail Rpt."/>
    <hyperlink ref="D5" location="'KNNC_Output'!$B$12:$B$12" display="Inputs"/>
    <hyperlink ref="F5" location="'KNNC_Output'!$B$41:$B$41" display="Prior Class Prob."/>
    <hyperlink ref="H5" location="'KNNC_Output'!$B$50:$B$50" display="Valid. Error Log"/>
    <hyperlink ref="J5" location="'KNNC_Output'!$B$75:$B$75" display="Train. Score - Summary"/>
    <hyperlink ref="B6" location="'KNNC_Output'!$B$99:$B$99" display="Valid. Score - Summary"/>
    <hyperlink ref="D6" location="'KNNC_TrainingLiftChart'!$B$12:$B$12" display="Training Lift Chart"/>
    <hyperlink ref="F6" location="'KNNC_ValidationLiftChart'!$B$12:$B$12" display="Validation Lift Chart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403"/>
  <sheetViews>
    <sheetView showGridLines="0" topLeftCell="A25" zoomScale="115" zoomScaleNormal="115" workbookViewId="0"/>
  </sheetViews>
  <sheetFormatPr defaultRowHeight="15.75" x14ac:dyDescent="0.25"/>
  <cols>
    <col min="14" max="14" width="9.75" bestFit="1" customWidth="1"/>
    <col min="52" max="52" width="7.125" customWidth="1"/>
    <col min="53" max="53" width="12" bestFit="1" customWidth="1"/>
    <col min="54" max="54" width="9.625" bestFit="1" customWidth="1"/>
    <col min="55" max="55" width="38.625" bestFit="1" customWidth="1"/>
    <col min="56" max="56" width="23.125" bestFit="1" customWidth="1"/>
    <col min="57" max="57" width="5.625" customWidth="1"/>
    <col min="58" max="58" width="19.5" bestFit="1" customWidth="1"/>
    <col min="78" max="80" width="11.875" bestFit="1" customWidth="1"/>
  </cols>
  <sheetData>
    <row r="1" spans="2:80" x14ac:dyDescent="0.25">
      <c r="BZ1" s="10" t="s">
        <v>83</v>
      </c>
      <c r="CA1" s="10" t="s">
        <v>84</v>
      </c>
      <c r="CB1" s="10" t="s">
        <v>85</v>
      </c>
    </row>
    <row r="2" spans="2:80" ht="18.75" x14ac:dyDescent="0.3">
      <c r="B2" s="5" t="s">
        <v>75</v>
      </c>
      <c r="N2" t="s">
        <v>24</v>
      </c>
      <c r="BZ2">
        <v>0</v>
      </c>
      <c r="CA2">
        <v>0</v>
      </c>
      <c r="CB2">
        <v>0</v>
      </c>
    </row>
    <row r="3" spans="2:80" x14ac:dyDescent="0.25">
      <c r="AZ3" s="10" t="s">
        <v>76</v>
      </c>
      <c r="BA3" s="10" t="s">
        <v>77</v>
      </c>
      <c r="BB3" s="10" t="s">
        <v>78</v>
      </c>
      <c r="BC3" s="10" t="s">
        <v>79</v>
      </c>
      <c r="BD3" s="10" t="s">
        <v>80</v>
      </c>
      <c r="BE3" s="10" t="s">
        <v>81</v>
      </c>
      <c r="BF3" s="10" t="s">
        <v>82</v>
      </c>
      <c r="BZ3">
        <v>3.5971223021582736E-3</v>
      </c>
      <c r="CA3">
        <v>0.4344262295081967</v>
      </c>
      <c r="CB3">
        <v>3.5971223021582736E-3</v>
      </c>
    </row>
    <row r="4" spans="2:80" x14ac:dyDescent="0.25">
      <c r="B4" s="11" t="s">
        <v>5</v>
      </c>
      <c r="C4" s="12"/>
      <c r="D4" s="12"/>
      <c r="E4" s="12"/>
      <c r="F4" s="12"/>
      <c r="G4" s="12"/>
      <c r="H4" s="12"/>
      <c r="I4" s="12"/>
      <c r="J4" s="12"/>
      <c r="K4" s="13"/>
      <c r="N4" s="11" t="s">
        <v>6</v>
      </c>
      <c r="O4" s="12"/>
      <c r="P4" s="12"/>
      <c r="Q4" s="13"/>
      <c r="AZ4" s="23">
        <v>1</v>
      </c>
      <c r="BA4" s="23">
        <v>1</v>
      </c>
      <c r="BB4" s="23">
        <v>1</v>
      </c>
      <c r="BC4" s="23">
        <v>1</v>
      </c>
      <c r="BD4" s="23">
        <v>0.30499999999999999</v>
      </c>
      <c r="BE4">
        <v>1</v>
      </c>
      <c r="BF4">
        <v>3.1967213114754101</v>
      </c>
      <c r="BZ4">
        <v>7.1942446043165471E-3</v>
      </c>
      <c r="CA4">
        <v>0.53278688524590168</v>
      </c>
      <c r="CB4">
        <v>7.1942446043165471E-3</v>
      </c>
    </row>
    <row r="5" spans="2:80" x14ac:dyDescent="0.25">
      <c r="B5" s="21" t="s">
        <v>67</v>
      </c>
      <c r="C5" s="18"/>
      <c r="D5" s="21" t="s">
        <v>68</v>
      </c>
      <c r="E5" s="18"/>
      <c r="F5" s="21" t="s">
        <v>69</v>
      </c>
      <c r="G5" s="18"/>
      <c r="H5" s="21" t="s">
        <v>70</v>
      </c>
      <c r="I5" s="18"/>
      <c r="J5" s="21" t="s">
        <v>71</v>
      </c>
      <c r="K5" s="18"/>
      <c r="N5" s="10" t="s">
        <v>56</v>
      </c>
      <c r="O5" s="10" t="s">
        <v>57</v>
      </c>
      <c r="P5" s="10" t="s">
        <v>58</v>
      </c>
      <c r="Q5" s="10" t="s">
        <v>9</v>
      </c>
      <c r="AZ5" s="23">
        <v>2</v>
      </c>
      <c r="BA5" s="23">
        <v>1</v>
      </c>
      <c r="BB5" s="23">
        <v>1</v>
      </c>
      <c r="BC5" s="23">
        <v>2</v>
      </c>
      <c r="BD5" s="23">
        <v>0.61</v>
      </c>
      <c r="BE5">
        <v>2</v>
      </c>
      <c r="BF5">
        <v>3.1147540983606561</v>
      </c>
      <c r="BZ5">
        <v>1.4388489208633094E-2</v>
      </c>
      <c r="CA5">
        <v>0.65573770491803274</v>
      </c>
      <c r="CB5">
        <v>1.4388489208633094E-2</v>
      </c>
    </row>
    <row r="6" spans="2:80" x14ac:dyDescent="0.25">
      <c r="B6" s="21" t="s">
        <v>72</v>
      </c>
      <c r="C6" s="18"/>
      <c r="D6" s="21" t="s">
        <v>73</v>
      </c>
      <c r="E6" s="18"/>
      <c r="F6" s="21" t="s">
        <v>74</v>
      </c>
      <c r="G6" s="18"/>
      <c r="H6" s="17"/>
      <c r="I6" s="18"/>
      <c r="J6" s="17"/>
      <c r="K6" s="18"/>
      <c r="N6" s="7">
        <v>0</v>
      </c>
      <c r="O6" s="7">
        <v>31</v>
      </c>
      <c r="P6" s="7">
        <v>16</v>
      </c>
      <c r="Q6" s="7">
        <v>47</v>
      </c>
      <c r="AZ6" s="23">
        <v>3</v>
      </c>
      <c r="BA6" s="23">
        <v>1</v>
      </c>
      <c r="BB6" s="23">
        <v>1</v>
      </c>
      <c r="BC6" s="23">
        <v>3</v>
      </c>
      <c r="BD6" s="23">
        <v>0.91500000000000004</v>
      </c>
      <c r="BE6">
        <v>3</v>
      </c>
      <c r="BF6">
        <v>2.0491803278688527</v>
      </c>
      <c r="BZ6">
        <v>4.6762589928057555E-2</v>
      </c>
      <c r="CA6">
        <v>0.77049180327868849</v>
      </c>
      <c r="CB6">
        <v>4.6762589928057555E-2</v>
      </c>
    </row>
    <row r="7" spans="2:80" x14ac:dyDescent="0.25">
      <c r="AZ7" s="23">
        <v>4</v>
      </c>
      <c r="BA7" s="23">
        <v>1</v>
      </c>
      <c r="BB7" s="23">
        <v>1</v>
      </c>
      <c r="BC7" s="23">
        <v>4</v>
      </c>
      <c r="BD7" s="23">
        <v>1.22</v>
      </c>
      <c r="BE7">
        <v>4</v>
      </c>
      <c r="BF7">
        <v>0.90163934426229508</v>
      </c>
      <c r="BZ7">
        <v>4.6762589928057555E-2</v>
      </c>
      <c r="CA7">
        <v>0.78688524590163933</v>
      </c>
      <c r="CB7">
        <v>4.6762589928057555E-2</v>
      </c>
    </row>
    <row r="8" spans="2:80" x14ac:dyDescent="0.25">
      <c r="AZ8" s="23">
        <v>5</v>
      </c>
      <c r="BA8" s="23">
        <v>1</v>
      </c>
      <c r="BB8" s="23">
        <v>1</v>
      </c>
      <c r="BC8" s="23">
        <v>5</v>
      </c>
      <c r="BD8" s="23">
        <v>1.5249999999999999</v>
      </c>
      <c r="BE8">
        <v>5</v>
      </c>
      <c r="BF8">
        <v>0.65573770491803285</v>
      </c>
      <c r="BZ8">
        <v>6.1151079136690649E-2</v>
      </c>
      <c r="CA8">
        <v>0.82786885245901642</v>
      </c>
      <c r="CB8">
        <v>6.1151079136690649E-2</v>
      </c>
    </row>
    <row r="9" spans="2:80" x14ac:dyDescent="0.25">
      <c r="AZ9" s="23">
        <v>6</v>
      </c>
      <c r="BA9" s="23">
        <v>1</v>
      </c>
      <c r="BB9" s="23">
        <v>1</v>
      </c>
      <c r="BC9" s="23">
        <v>6</v>
      </c>
      <c r="BD9" s="23">
        <v>1.83</v>
      </c>
      <c r="BE9">
        <v>6</v>
      </c>
      <c r="BF9">
        <v>8.1967213114754106E-2</v>
      </c>
      <c r="BZ9">
        <v>6.83453237410072E-2</v>
      </c>
      <c r="CA9">
        <v>0.83606557377049184</v>
      </c>
      <c r="CB9">
        <v>6.83453237410072E-2</v>
      </c>
    </row>
    <row r="10" spans="2:80" x14ac:dyDescent="0.25">
      <c r="AZ10" s="23">
        <v>7</v>
      </c>
      <c r="BA10" s="23">
        <v>1</v>
      </c>
      <c r="BB10" s="23">
        <v>1</v>
      </c>
      <c r="BC10" s="23">
        <v>7</v>
      </c>
      <c r="BD10" s="23">
        <v>2.1349999999999998</v>
      </c>
      <c r="BE10">
        <v>7</v>
      </c>
      <c r="BF10">
        <v>0</v>
      </c>
      <c r="BZ10">
        <v>6.83453237410072E-2</v>
      </c>
      <c r="CA10">
        <v>0.84426229508196726</v>
      </c>
      <c r="CB10">
        <v>6.83453237410072E-2</v>
      </c>
    </row>
    <row r="11" spans="2:80" x14ac:dyDescent="0.25">
      <c r="AZ11" s="23">
        <v>8</v>
      </c>
      <c r="BA11" s="23">
        <v>1</v>
      </c>
      <c r="BB11" s="23">
        <v>1</v>
      </c>
      <c r="BC11" s="23">
        <v>8</v>
      </c>
      <c r="BD11" s="23">
        <v>2.44</v>
      </c>
      <c r="BE11">
        <v>8</v>
      </c>
      <c r="BF11">
        <v>0</v>
      </c>
      <c r="BZ11">
        <v>8.2733812949640287E-2</v>
      </c>
      <c r="CA11">
        <v>0.84426229508196726</v>
      </c>
      <c r="CB11">
        <v>8.2733812949640287E-2</v>
      </c>
    </row>
    <row r="12" spans="2:80" x14ac:dyDescent="0.25">
      <c r="AZ12" s="23">
        <v>9</v>
      </c>
      <c r="BA12" s="23">
        <v>1</v>
      </c>
      <c r="BB12" s="23">
        <v>1</v>
      </c>
      <c r="BC12" s="23">
        <v>9</v>
      </c>
      <c r="BD12" s="23">
        <v>2.7450000000000001</v>
      </c>
      <c r="BE12">
        <v>9</v>
      </c>
      <c r="BF12">
        <v>0</v>
      </c>
      <c r="BZ12">
        <v>0.1223021582733813</v>
      </c>
      <c r="CA12">
        <v>0.85245901639344257</v>
      </c>
      <c r="CB12">
        <v>0.1223021582733813</v>
      </c>
    </row>
    <row r="13" spans="2:80" x14ac:dyDescent="0.25">
      <c r="AZ13" s="23">
        <v>10</v>
      </c>
      <c r="BA13" s="23">
        <v>1</v>
      </c>
      <c r="BB13" s="23">
        <v>1</v>
      </c>
      <c r="BC13" s="23">
        <v>10</v>
      </c>
      <c r="BD13" s="23">
        <v>3.05</v>
      </c>
      <c r="BE13">
        <v>10</v>
      </c>
      <c r="BF13">
        <v>0</v>
      </c>
      <c r="BZ13">
        <v>0.12589928057553956</v>
      </c>
      <c r="CA13">
        <v>0.87704918032786883</v>
      </c>
      <c r="CB13">
        <v>0.12589928057553956</v>
      </c>
    </row>
    <row r="14" spans="2:80" x14ac:dyDescent="0.25">
      <c r="AZ14" s="23">
        <v>11</v>
      </c>
      <c r="BA14" s="23">
        <v>1</v>
      </c>
      <c r="BB14" s="23">
        <v>1</v>
      </c>
      <c r="BC14" s="23">
        <v>11</v>
      </c>
      <c r="BD14" s="23">
        <v>3.355</v>
      </c>
      <c r="BZ14">
        <v>0.15467625899280577</v>
      </c>
      <c r="CA14">
        <v>0.90163934426229508</v>
      </c>
      <c r="CB14">
        <v>0.15467625899280577</v>
      </c>
    </row>
    <row r="15" spans="2:80" x14ac:dyDescent="0.25">
      <c r="AZ15" s="23">
        <v>12</v>
      </c>
      <c r="BA15" s="23">
        <v>1</v>
      </c>
      <c r="BB15" s="23">
        <v>1</v>
      </c>
      <c r="BC15" s="23">
        <v>12</v>
      </c>
      <c r="BD15" s="23">
        <v>3.66</v>
      </c>
      <c r="BZ15">
        <v>0.21582733812949639</v>
      </c>
      <c r="CA15">
        <v>0.96721311475409832</v>
      </c>
      <c r="CB15">
        <v>0.21582733812949639</v>
      </c>
    </row>
    <row r="16" spans="2:80" x14ac:dyDescent="0.25">
      <c r="AZ16" s="23">
        <v>13</v>
      </c>
      <c r="BA16" s="23">
        <v>1</v>
      </c>
      <c r="BB16" s="23">
        <v>1</v>
      </c>
      <c r="BC16" s="23">
        <v>13</v>
      </c>
      <c r="BD16" s="23">
        <v>3.9649999999999999</v>
      </c>
      <c r="BZ16">
        <v>0.24820143884892087</v>
      </c>
      <c r="CA16">
        <v>0.97540983606557374</v>
      </c>
      <c r="CB16">
        <v>0.24820143884892087</v>
      </c>
    </row>
    <row r="17" spans="52:80" x14ac:dyDescent="0.25">
      <c r="AZ17" s="23">
        <v>14</v>
      </c>
      <c r="BA17" s="23">
        <v>1</v>
      </c>
      <c r="BB17" s="23">
        <v>1</v>
      </c>
      <c r="BC17" s="23">
        <v>14</v>
      </c>
      <c r="BD17" s="23">
        <v>4.2699999999999996</v>
      </c>
      <c r="BZ17">
        <v>0.25899280575539568</v>
      </c>
      <c r="CA17">
        <v>0.97540983606557374</v>
      </c>
      <c r="CB17">
        <v>0.25899280575539568</v>
      </c>
    </row>
    <row r="18" spans="52:80" x14ac:dyDescent="0.25">
      <c r="AZ18" s="23">
        <v>15</v>
      </c>
      <c r="BA18" s="23">
        <v>1</v>
      </c>
      <c r="BB18" s="23">
        <v>1</v>
      </c>
      <c r="BC18" s="23">
        <v>15</v>
      </c>
      <c r="BD18" s="23">
        <v>4.5750000000000002</v>
      </c>
      <c r="BZ18">
        <v>0.37050359712230213</v>
      </c>
      <c r="CA18">
        <v>1</v>
      </c>
      <c r="CB18">
        <v>0.37050359712230213</v>
      </c>
    </row>
    <row r="19" spans="52:80" x14ac:dyDescent="0.25">
      <c r="AZ19" s="23">
        <v>16</v>
      </c>
      <c r="BA19" s="23">
        <v>1</v>
      </c>
      <c r="BB19" s="23">
        <v>1</v>
      </c>
      <c r="BC19" s="23">
        <v>16</v>
      </c>
      <c r="BD19" s="23">
        <v>4.88</v>
      </c>
      <c r="BZ19">
        <v>1</v>
      </c>
      <c r="CA19">
        <v>1</v>
      </c>
      <c r="CB19">
        <v>1</v>
      </c>
    </row>
    <row r="20" spans="52:80" x14ac:dyDescent="0.25">
      <c r="AZ20" s="23">
        <v>17</v>
      </c>
      <c r="BA20" s="23">
        <v>1</v>
      </c>
      <c r="BB20" s="23">
        <v>0</v>
      </c>
      <c r="BC20" s="23">
        <v>16</v>
      </c>
      <c r="BD20" s="23">
        <v>5.1849999999999996</v>
      </c>
    </row>
    <row r="21" spans="52:80" x14ac:dyDescent="0.25">
      <c r="AZ21" s="23">
        <v>18</v>
      </c>
      <c r="BA21" s="23">
        <v>1</v>
      </c>
      <c r="BB21" s="23">
        <v>1</v>
      </c>
      <c r="BC21" s="23">
        <v>17</v>
      </c>
      <c r="BD21" s="23">
        <v>5.49</v>
      </c>
    </row>
    <row r="22" spans="52:80" x14ac:dyDescent="0.25">
      <c r="AZ22" s="23">
        <v>19</v>
      </c>
      <c r="BA22" s="23">
        <v>1</v>
      </c>
      <c r="BB22" s="23">
        <v>1</v>
      </c>
      <c r="BC22" s="23">
        <v>18</v>
      </c>
      <c r="BD22" s="23">
        <v>5.7949999999999999</v>
      </c>
    </row>
    <row r="23" spans="52:80" x14ac:dyDescent="0.25">
      <c r="AZ23" s="23">
        <v>20</v>
      </c>
      <c r="BA23" s="23">
        <v>1</v>
      </c>
      <c r="BB23" s="23">
        <v>1</v>
      </c>
      <c r="BC23" s="23">
        <v>19</v>
      </c>
      <c r="BD23" s="23">
        <v>6.1</v>
      </c>
    </row>
    <row r="24" spans="52:80" x14ac:dyDescent="0.25">
      <c r="AZ24" s="23">
        <v>21</v>
      </c>
      <c r="BA24" s="23">
        <v>1</v>
      </c>
      <c r="BB24" s="23">
        <v>1</v>
      </c>
      <c r="BC24" s="23">
        <v>20</v>
      </c>
      <c r="BD24" s="23">
        <v>6.4050000000000002</v>
      </c>
    </row>
    <row r="25" spans="52:80" x14ac:dyDescent="0.25">
      <c r="AZ25" s="23">
        <v>22</v>
      </c>
      <c r="BA25" s="23">
        <v>1</v>
      </c>
      <c r="BB25" s="23">
        <v>1</v>
      </c>
      <c r="BC25" s="23">
        <v>21</v>
      </c>
      <c r="BD25" s="23">
        <v>6.71</v>
      </c>
    </row>
    <row r="26" spans="52:80" x14ac:dyDescent="0.25">
      <c r="AZ26" s="23">
        <v>23</v>
      </c>
      <c r="BA26" s="23">
        <v>1</v>
      </c>
      <c r="BB26" s="23">
        <v>1</v>
      </c>
      <c r="BC26" s="23">
        <v>22</v>
      </c>
      <c r="BD26" s="23">
        <v>7.0149999999999997</v>
      </c>
    </row>
    <row r="27" spans="52:80" x14ac:dyDescent="0.25">
      <c r="AZ27" s="23">
        <v>24</v>
      </c>
      <c r="BA27" s="23">
        <v>1</v>
      </c>
      <c r="BB27" s="23">
        <v>1</v>
      </c>
      <c r="BC27" s="23">
        <v>23</v>
      </c>
      <c r="BD27" s="23">
        <v>7.32</v>
      </c>
    </row>
    <row r="28" spans="52:80" x14ac:dyDescent="0.25">
      <c r="AZ28" s="23">
        <v>25</v>
      </c>
      <c r="BA28" s="23">
        <v>1</v>
      </c>
      <c r="BB28" s="23">
        <v>1</v>
      </c>
      <c r="BC28" s="23">
        <v>24</v>
      </c>
      <c r="BD28" s="23">
        <v>7.625</v>
      </c>
    </row>
    <row r="29" spans="52:80" x14ac:dyDescent="0.25">
      <c r="AZ29" s="23">
        <v>26</v>
      </c>
      <c r="BA29" s="23">
        <v>1</v>
      </c>
      <c r="BB29" s="23">
        <v>1</v>
      </c>
      <c r="BC29" s="23">
        <v>25</v>
      </c>
      <c r="BD29" s="23">
        <v>7.93</v>
      </c>
    </row>
    <row r="30" spans="52:80" x14ac:dyDescent="0.25">
      <c r="AZ30" s="23">
        <v>27</v>
      </c>
      <c r="BA30" s="23">
        <v>1</v>
      </c>
      <c r="BB30" s="23">
        <v>1</v>
      </c>
      <c r="BC30" s="23">
        <v>26</v>
      </c>
      <c r="BD30" s="23">
        <v>8.2349999999999994</v>
      </c>
    </row>
    <row r="31" spans="52:80" x14ac:dyDescent="0.25">
      <c r="AZ31" s="23">
        <v>28</v>
      </c>
      <c r="BA31" s="23">
        <v>1</v>
      </c>
      <c r="BB31" s="23">
        <v>1</v>
      </c>
      <c r="BC31" s="23">
        <v>27</v>
      </c>
      <c r="BD31" s="23">
        <v>8.5399999999999991</v>
      </c>
    </row>
    <row r="32" spans="52:80" x14ac:dyDescent="0.25">
      <c r="AZ32" s="23">
        <v>29</v>
      </c>
      <c r="BA32" s="23">
        <v>1</v>
      </c>
      <c r="BB32" s="23">
        <v>1</v>
      </c>
      <c r="BC32" s="23">
        <v>28</v>
      </c>
      <c r="BD32" s="23">
        <v>8.8450000000000006</v>
      </c>
    </row>
    <row r="33" spans="9:56" x14ac:dyDescent="0.25">
      <c r="AZ33" s="23">
        <v>30</v>
      </c>
      <c r="BA33" s="23">
        <v>1</v>
      </c>
      <c r="BB33" s="23">
        <v>1</v>
      </c>
      <c r="BC33" s="23">
        <v>29</v>
      </c>
      <c r="BD33" s="23">
        <v>9.15</v>
      </c>
    </row>
    <row r="34" spans="9:56" x14ac:dyDescent="0.25">
      <c r="AZ34" s="23">
        <v>31</v>
      </c>
      <c r="BA34" s="23">
        <v>1</v>
      </c>
      <c r="BB34" s="23">
        <v>1</v>
      </c>
      <c r="BC34" s="23">
        <v>30</v>
      </c>
      <c r="BD34" s="23">
        <v>9.4550000000000001</v>
      </c>
    </row>
    <row r="35" spans="9:56" x14ac:dyDescent="0.25">
      <c r="AZ35" s="23">
        <v>32</v>
      </c>
      <c r="BA35" s="23">
        <v>1</v>
      </c>
      <c r="BB35" s="23">
        <v>1</v>
      </c>
      <c r="BC35" s="23">
        <v>31</v>
      </c>
      <c r="BD35" s="23">
        <v>9.76</v>
      </c>
    </row>
    <row r="36" spans="9:56" x14ac:dyDescent="0.25">
      <c r="AZ36" s="23">
        <v>33</v>
      </c>
      <c r="BA36" s="23">
        <v>1</v>
      </c>
      <c r="BB36" s="23">
        <v>1</v>
      </c>
      <c r="BC36" s="23">
        <v>32</v>
      </c>
      <c r="BD36" s="23">
        <v>10.065</v>
      </c>
    </row>
    <row r="37" spans="9:56" x14ac:dyDescent="0.25">
      <c r="AZ37" s="23">
        <v>34</v>
      </c>
      <c r="BA37" s="23">
        <v>1</v>
      </c>
      <c r="BB37" s="23">
        <v>1</v>
      </c>
      <c r="BC37" s="23">
        <v>33</v>
      </c>
      <c r="BD37" s="23">
        <v>10.37</v>
      </c>
    </row>
    <row r="38" spans="9:56" x14ac:dyDescent="0.25">
      <c r="AZ38" s="23">
        <v>35</v>
      </c>
      <c r="BA38" s="23">
        <v>1</v>
      </c>
      <c r="BB38" s="23">
        <v>1</v>
      </c>
      <c r="BC38" s="23">
        <v>34</v>
      </c>
      <c r="BD38" s="23">
        <v>10.674999999999999</v>
      </c>
    </row>
    <row r="39" spans="9:56" x14ac:dyDescent="0.25">
      <c r="AZ39" s="23">
        <v>36</v>
      </c>
      <c r="BA39" s="23">
        <v>1</v>
      </c>
      <c r="BB39" s="23">
        <v>1</v>
      </c>
      <c r="BC39" s="23">
        <v>35</v>
      </c>
      <c r="BD39" s="23">
        <v>10.98</v>
      </c>
    </row>
    <row r="40" spans="9:56" x14ac:dyDescent="0.25">
      <c r="I40" s="10" t="s">
        <v>86</v>
      </c>
      <c r="J40" s="10" t="s">
        <v>87</v>
      </c>
      <c r="K40" s="10" t="s">
        <v>88</v>
      </c>
      <c r="L40" s="10" t="s">
        <v>89</v>
      </c>
      <c r="M40" s="10" t="s">
        <v>90</v>
      </c>
      <c r="AZ40" s="23">
        <v>37</v>
      </c>
      <c r="BA40" s="23">
        <v>1</v>
      </c>
      <c r="BB40" s="23">
        <v>1</v>
      </c>
      <c r="BC40" s="23">
        <v>36</v>
      </c>
      <c r="BD40" s="23">
        <v>11.285</v>
      </c>
    </row>
    <row r="41" spans="9:56" x14ac:dyDescent="0.25">
      <c r="I41" s="9">
        <v>1</v>
      </c>
      <c r="J41" s="7">
        <v>0.97499999999999998</v>
      </c>
      <c r="K41" s="7">
        <v>0.15811388300841894</v>
      </c>
      <c r="L41" s="7">
        <v>0</v>
      </c>
      <c r="M41" s="7">
        <v>1</v>
      </c>
      <c r="AZ41" s="23">
        <v>38</v>
      </c>
      <c r="BA41" s="23">
        <v>1</v>
      </c>
      <c r="BB41" s="23">
        <v>1</v>
      </c>
      <c r="BC41" s="23">
        <v>37</v>
      </c>
      <c r="BD41" s="23">
        <v>11.59</v>
      </c>
    </row>
    <row r="42" spans="9:56" x14ac:dyDescent="0.25">
      <c r="I42" s="9">
        <v>2</v>
      </c>
      <c r="J42" s="7">
        <v>0.95</v>
      </c>
      <c r="K42" s="7">
        <v>0.22072142786315219</v>
      </c>
      <c r="L42" s="7">
        <v>0</v>
      </c>
      <c r="M42" s="7">
        <v>1</v>
      </c>
      <c r="AZ42" s="23">
        <v>39</v>
      </c>
      <c r="BA42" s="23">
        <v>1</v>
      </c>
      <c r="BB42" s="23">
        <v>1</v>
      </c>
      <c r="BC42" s="23">
        <v>38</v>
      </c>
      <c r="BD42" s="23">
        <v>11.895</v>
      </c>
    </row>
    <row r="43" spans="9:56" x14ac:dyDescent="0.25">
      <c r="I43" s="9">
        <v>3</v>
      </c>
      <c r="J43" s="7">
        <v>0.625</v>
      </c>
      <c r="K43" s="7">
        <v>0.49029033784546011</v>
      </c>
      <c r="L43" s="7">
        <v>0</v>
      </c>
      <c r="M43" s="7">
        <v>1</v>
      </c>
      <c r="AZ43" s="23">
        <v>40</v>
      </c>
      <c r="BA43" s="23">
        <v>1</v>
      </c>
      <c r="BB43" s="23">
        <v>1</v>
      </c>
      <c r="BC43" s="23">
        <v>39</v>
      </c>
      <c r="BD43" s="23">
        <v>12.2</v>
      </c>
    </row>
    <row r="44" spans="9:56" x14ac:dyDescent="0.25">
      <c r="I44" s="9">
        <v>4</v>
      </c>
      <c r="J44" s="7">
        <v>0.27500000000000002</v>
      </c>
      <c r="K44" s="7">
        <v>0.45220258677630248</v>
      </c>
      <c r="L44" s="7">
        <v>0</v>
      </c>
      <c r="M44" s="7">
        <v>1</v>
      </c>
      <c r="AZ44" s="24">
        <v>41</v>
      </c>
      <c r="BA44" s="24">
        <v>1</v>
      </c>
      <c r="BB44" s="24">
        <v>1</v>
      </c>
      <c r="BC44" s="24">
        <v>40</v>
      </c>
      <c r="BD44" s="24">
        <v>12.504999999999999</v>
      </c>
    </row>
    <row r="45" spans="9:56" x14ac:dyDescent="0.25">
      <c r="I45" s="9">
        <v>5</v>
      </c>
      <c r="J45" s="7">
        <v>0.2</v>
      </c>
      <c r="K45" s="7">
        <v>0.40509574683346672</v>
      </c>
      <c r="L45" s="7">
        <v>0</v>
      </c>
      <c r="M45" s="7">
        <v>1</v>
      </c>
      <c r="AZ45" s="24">
        <v>42</v>
      </c>
      <c r="BA45" s="24">
        <v>1</v>
      </c>
      <c r="BB45" s="24">
        <v>1</v>
      </c>
      <c r="BC45" s="24">
        <v>41</v>
      </c>
      <c r="BD45" s="24">
        <v>12.81</v>
      </c>
    </row>
    <row r="46" spans="9:56" x14ac:dyDescent="0.25">
      <c r="I46" s="9">
        <v>6</v>
      </c>
      <c r="J46" s="7">
        <v>2.5000000000000001E-2</v>
      </c>
      <c r="K46" s="7">
        <v>0.15811388300841892</v>
      </c>
      <c r="L46" s="7">
        <v>0</v>
      </c>
      <c r="M46" s="7">
        <v>1</v>
      </c>
      <c r="AZ46" s="24">
        <v>43</v>
      </c>
      <c r="BA46" s="24">
        <v>1</v>
      </c>
      <c r="BB46" s="24">
        <v>1</v>
      </c>
      <c r="BC46" s="24">
        <v>42</v>
      </c>
      <c r="BD46" s="24">
        <v>13.115</v>
      </c>
    </row>
    <row r="47" spans="9:56" x14ac:dyDescent="0.25">
      <c r="I47" s="9">
        <v>7</v>
      </c>
      <c r="J47" s="7">
        <v>0</v>
      </c>
      <c r="K47" s="7">
        <v>0</v>
      </c>
      <c r="L47" s="7">
        <v>0</v>
      </c>
      <c r="M47" s="7">
        <v>0</v>
      </c>
      <c r="AZ47" s="24">
        <v>44</v>
      </c>
      <c r="BA47" s="24">
        <v>1</v>
      </c>
      <c r="BB47" s="24">
        <v>1</v>
      </c>
      <c r="BC47" s="24">
        <v>43</v>
      </c>
      <c r="BD47" s="24">
        <v>13.42</v>
      </c>
    </row>
    <row r="48" spans="9:56" x14ac:dyDescent="0.25">
      <c r="I48" s="9">
        <v>8</v>
      </c>
      <c r="J48" s="7">
        <v>0</v>
      </c>
      <c r="K48" s="7">
        <v>0</v>
      </c>
      <c r="L48" s="7">
        <v>0</v>
      </c>
      <c r="M48" s="7">
        <v>0</v>
      </c>
      <c r="AZ48" s="24">
        <v>45</v>
      </c>
      <c r="BA48" s="24">
        <v>1</v>
      </c>
      <c r="BB48" s="24">
        <v>1</v>
      </c>
      <c r="BC48" s="24">
        <v>44</v>
      </c>
      <c r="BD48" s="24">
        <v>13.725</v>
      </c>
    </row>
    <row r="49" spans="9:56" x14ac:dyDescent="0.25">
      <c r="I49" s="9">
        <v>9</v>
      </c>
      <c r="J49" s="7">
        <v>0</v>
      </c>
      <c r="K49" s="7">
        <v>0</v>
      </c>
      <c r="L49" s="7">
        <v>0</v>
      </c>
      <c r="M49" s="7">
        <v>0</v>
      </c>
      <c r="AZ49" s="24">
        <v>46</v>
      </c>
      <c r="BA49" s="24">
        <v>1</v>
      </c>
      <c r="BB49" s="24">
        <v>1</v>
      </c>
      <c r="BC49" s="24">
        <v>45</v>
      </c>
      <c r="BD49" s="24">
        <v>14.03</v>
      </c>
    </row>
    <row r="50" spans="9:56" x14ac:dyDescent="0.25">
      <c r="I50" s="9">
        <v>10</v>
      </c>
      <c r="J50" s="7">
        <v>0</v>
      </c>
      <c r="K50" s="7">
        <v>0</v>
      </c>
      <c r="L50" s="7">
        <v>0</v>
      </c>
      <c r="M50" s="7">
        <v>0</v>
      </c>
      <c r="AZ50" s="24">
        <v>47</v>
      </c>
      <c r="BA50" s="24">
        <v>1</v>
      </c>
      <c r="BB50" s="24">
        <v>1</v>
      </c>
      <c r="BC50" s="24">
        <v>46</v>
      </c>
      <c r="BD50" s="24">
        <v>14.334999999999999</v>
      </c>
    </row>
    <row r="51" spans="9:56" x14ac:dyDescent="0.25">
      <c r="AZ51" s="24">
        <v>48</v>
      </c>
      <c r="BA51" s="24">
        <v>1</v>
      </c>
      <c r="BB51" s="24">
        <v>1</v>
      </c>
      <c r="BC51" s="24">
        <v>47</v>
      </c>
      <c r="BD51" s="24">
        <v>14.64</v>
      </c>
    </row>
    <row r="52" spans="9:56" x14ac:dyDescent="0.25">
      <c r="AZ52" s="24">
        <v>49</v>
      </c>
      <c r="BA52" s="24">
        <v>1</v>
      </c>
      <c r="BB52" s="24">
        <v>1</v>
      </c>
      <c r="BC52" s="24">
        <v>48</v>
      </c>
      <c r="BD52" s="24">
        <v>14.945</v>
      </c>
    </row>
    <row r="53" spans="9:56" x14ac:dyDescent="0.25">
      <c r="AZ53" s="24">
        <v>50</v>
      </c>
      <c r="BA53" s="24">
        <v>1</v>
      </c>
      <c r="BB53" s="24">
        <v>1</v>
      </c>
      <c r="BC53" s="24">
        <v>49</v>
      </c>
      <c r="BD53" s="24">
        <v>15.25</v>
      </c>
    </row>
    <row r="54" spans="9:56" x14ac:dyDescent="0.25">
      <c r="AZ54" s="24">
        <v>51</v>
      </c>
      <c r="BA54" s="24">
        <v>1</v>
      </c>
      <c r="BB54" s="24">
        <v>1</v>
      </c>
      <c r="BC54" s="24">
        <v>50</v>
      </c>
      <c r="BD54" s="24">
        <v>15.555</v>
      </c>
    </row>
    <row r="55" spans="9:56" x14ac:dyDescent="0.25">
      <c r="AZ55" s="24">
        <v>52</v>
      </c>
      <c r="BA55" s="24">
        <v>1</v>
      </c>
      <c r="BB55" s="24">
        <v>1</v>
      </c>
      <c r="BC55" s="24">
        <v>51</v>
      </c>
      <c r="BD55" s="24">
        <v>15.86</v>
      </c>
    </row>
    <row r="56" spans="9:56" x14ac:dyDescent="0.25">
      <c r="AZ56" s="24">
        <v>53</v>
      </c>
      <c r="BA56" s="24">
        <v>1</v>
      </c>
      <c r="BB56" s="24">
        <v>1</v>
      </c>
      <c r="BC56" s="24">
        <v>52</v>
      </c>
      <c r="BD56" s="24">
        <v>16.164999999999999</v>
      </c>
    </row>
    <row r="57" spans="9:56" x14ac:dyDescent="0.25">
      <c r="AZ57" s="24">
        <v>54</v>
      </c>
      <c r="BA57" s="24">
        <v>1</v>
      </c>
      <c r="BB57" s="24">
        <v>1</v>
      </c>
      <c r="BC57" s="24">
        <v>53</v>
      </c>
      <c r="BD57" s="24">
        <v>16.47</v>
      </c>
    </row>
    <row r="58" spans="9:56" x14ac:dyDescent="0.25">
      <c r="AZ58" s="24">
        <v>55</v>
      </c>
      <c r="BA58" s="24">
        <v>0.94117647058823528</v>
      </c>
      <c r="BB58" s="24">
        <v>1</v>
      </c>
      <c r="BC58" s="24">
        <v>54</v>
      </c>
      <c r="BD58" s="24">
        <v>16.774999999999999</v>
      </c>
    </row>
    <row r="59" spans="9:56" x14ac:dyDescent="0.25">
      <c r="AZ59" s="24">
        <v>56</v>
      </c>
      <c r="BA59" s="24">
        <v>0.94117647058823528</v>
      </c>
      <c r="BB59" s="24">
        <v>1</v>
      </c>
      <c r="BC59" s="24">
        <v>55</v>
      </c>
      <c r="BD59" s="24">
        <v>17.079999999999998</v>
      </c>
    </row>
    <row r="60" spans="9:56" x14ac:dyDescent="0.25">
      <c r="AZ60" s="24">
        <v>57</v>
      </c>
      <c r="BA60" s="24">
        <v>0.94117647058823528</v>
      </c>
      <c r="BB60" s="24">
        <v>1</v>
      </c>
      <c r="BC60" s="24">
        <v>56</v>
      </c>
      <c r="BD60" s="24">
        <v>17.384999999999998</v>
      </c>
    </row>
    <row r="61" spans="9:56" x14ac:dyDescent="0.25">
      <c r="AZ61" s="24">
        <v>58</v>
      </c>
      <c r="BA61" s="24">
        <v>0.94117647058823528</v>
      </c>
      <c r="BB61" s="24">
        <v>1</v>
      </c>
      <c r="BC61" s="24">
        <v>57</v>
      </c>
      <c r="BD61" s="24">
        <v>17.690000000000001</v>
      </c>
    </row>
    <row r="62" spans="9:56" x14ac:dyDescent="0.25">
      <c r="AZ62" s="24">
        <v>59</v>
      </c>
      <c r="BA62" s="24">
        <v>0.94117647058823528</v>
      </c>
      <c r="BB62" s="24">
        <v>1</v>
      </c>
      <c r="BC62" s="24">
        <v>58</v>
      </c>
      <c r="BD62" s="24">
        <v>17.995000000000001</v>
      </c>
    </row>
    <row r="63" spans="9:56" x14ac:dyDescent="0.25">
      <c r="AZ63" s="24">
        <v>60</v>
      </c>
      <c r="BA63" s="24">
        <v>0.94117647058823528</v>
      </c>
      <c r="BB63" s="24">
        <v>0</v>
      </c>
      <c r="BC63" s="24">
        <v>58</v>
      </c>
      <c r="BD63" s="24">
        <v>18.3</v>
      </c>
    </row>
    <row r="64" spans="9:56" x14ac:dyDescent="0.25">
      <c r="AZ64" s="24">
        <v>61</v>
      </c>
      <c r="BA64" s="24">
        <v>0.94117647058823528</v>
      </c>
      <c r="BB64" s="24">
        <v>1</v>
      </c>
      <c r="BC64" s="24">
        <v>59</v>
      </c>
      <c r="BD64" s="24">
        <v>18.605</v>
      </c>
    </row>
    <row r="65" spans="52:56" x14ac:dyDescent="0.25">
      <c r="AZ65" s="24">
        <v>62</v>
      </c>
      <c r="BA65" s="24">
        <v>0.94117647058823528</v>
      </c>
      <c r="BB65" s="24">
        <v>1</v>
      </c>
      <c r="BC65" s="24">
        <v>60</v>
      </c>
      <c r="BD65" s="24">
        <v>18.91</v>
      </c>
    </row>
    <row r="66" spans="52:56" x14ac:dyDescent="0.25">
      <c r="AZ66" s="24">
        <v>63</v>
      </c>
      <c r="BA66" s="24">
        <v>0.94117647058823528</v>
      </c>
      <c r="BB66" s="24">
        <v>1</v>
      </c>
      <c r="BC66" s="24">
        <v>61</v>
      </c>
      <c r="BD66" s="24">
        <v>19.215</v>
      </c>
    </row>
    <row r="67" spans="52:56" x14ac:dyDescent="0.25">
      <c r="AZ67" s="24">
        <v>64</v>
      </c>
      <c r="BA67" s="24">
        <v>0.94117647058823528</v>
      </c>
      <c r="BB67" s="24">
        <v>1</v>
      </c>
      <c r="BC67" s="24">
        <v>62</v>
      </c>
      <c r="BD67" s="24">
        <v>19.52</v>
      </c>
    </row>
    <row r="68" spans="52:56" x14ac:dyDescent="0.25">
      <c r="AZ68" s="24">
        <v>65</v>
      </c>
      <c r="BA68" s="24">
        <v>0.94117647058823528</v>
      </c>
      <c r="BB68" s="24">
        <v>1</v>
      </c>
      <c r="BC68" s="24">
        <v>63</v>
      </c>
      <c r="BD68" s="24">
        <v>19.824999999999999</v>
      </c>
    </row>
    <row r="69" spans="52:56" x14ac:dyDescent="0.25">
      <c r="AZ69" s="24">
        <v>66</v>
      </c>
      <c r="BA69" s="24">
        <v>0.94117647058823528</v>
      </c>
      <c r="BB69" s="24">
        <v>1</v>
      </c>
      <c r="BC69" s="24">
        <v>64</v>
      </c>
      <c r="BD69" s="24">
        <v>20.13</v>
      </c>
    </row>
    <row r="70" spans="52:56" x14ac:dyDescent="0.25">
      <c r="AZ70" s="24">
        <v>67</v>
      </c>
      <c r="BA70" s="24">
        <v>0.94117647058823528</v>
      </c>
      <c r="BB70" s="24">
        <v>1</v>
      </c>
      <c r="BC70" s="24">
        <v>65</v>
      </c>
      <c r="BD70" s="24">
        <v>20.434999999999999</v>
      </c>
    </row>
    <row r="71" spans="52:56" x14ac:dyDescent="0.25">
      <c r="AZ71" s="24">
        <v>68</v>
      </c>
      <c r="BA71" s="24">
        <v>0.88235294117647056</v>
      </c>
      <c r="BB71" s="24">
        <v>1</v>
      </c>
      <c r="BC71" s="24">
        <v>66</v>
      </c>
      <c r="BD71" s="24">
        <v>20.74</v>
      </c>
    </row>
    <row r="72" spans="52:56" x14ac:dyDescent="0.25">
      <c r="AZ72" s="24">
        <v>69</v>
      </c>
      <c r="BA72" s="24">
        <v>0.88235294117647056</v>
      </c>
      <c r="BB72" s="24">
        <v>1</v>
      </c>
      <c r="BC72" s="24">
        <v>67</v>
      </c>
      <c r="BD72" s="24">
        <v>21.044999999999998</v>
      </c>
    </row>
    <row r="73" spans="52:56" x14ac:dyDescent="0.25">
      <c r="AZ73" s="24">
        <v>70</v>
      </c>
      <c r="BA73" s="24">
        <v>0.88235294117647056</v>
      </c>
      <c r="BB73" s="24">
        <v>1</v>
      </c>
      <c r="BC73" s="24">
        <v>68</v>
      </c>
      <c r="BD73" s="24">
        <v>21.349999999999998</v>
      </c>
    </row>
    <row r="74" spans="52:56" x14ac:dyDescent="0.25">
      <c r="AZ74" s="24">
        <v>71</v>
      </c>
      <c r="BA74" s="24">
        <v>0.88235294117647056</v>
      </c>
      <c r="BB74" s="24">
        <v>1</v>
      </c>
      <c r="BC74" s="24">
        <v>69</v>
      </c>
      <c r="BD74" s="24">
        <v>21.655000000000001</v>
      </c>
    </row>
    <row r="75" spans="52:56" x14ac:dyDescent="0.25">
      <c r="AZ75" s="24">
        <v>72</v>
      </c>
      <c r="BA75" s="24">
        <v>0.88235294117647056</v>
      </c>
      <c r="BB75" s="24">
        <v>1</v>
      </c>
      <c r="BC75" s="24">
        <v>70</v>
      </c>
      <c r="BD75" s="24">
        <v>21.96</v>
      </c>
    </row>
    <row r="76" spans="52:56" x14ac:dyDescent="0.25">
      <c r="AZ76" s="24">
        <v>73</v>
      </c>
      <c r="BA76" s="24">
        <v>0.88235294117647056</v>
      </c>
      <c r="BB76" s="24">
        <v>0</v>
      </c>
      <c r="BC76" s="24">
        <v>70</v>
      </c>
      <c r="BD76" s="24">
        <v>22.265000000000001</v>
      </c>
    </row>
    <row r="77" spans="52:56" x14ac:dyDescent="0.25">
      <c r="AZ77" s="24">
        <v>74</v>
      </c>
      <c r="BA77" s="24">
        <v>0.88235294117647056</v>
      </c>
      <c r="BB77" s="24">
        <v>1</v>
      </c>
      <c r="BC77" s="24">
        <v>71</v>
      </c>
      <c r="BD77" s="24">
        <v>22.57</v>
      </c>
    </row>
    <row r="78" spans="52:56" x14ac:dyDescent="0.25">
      <c r="AZ78" s="24">
        <v>75</v>
      </c>
      <c r="BA78" s="24">
        <v>0.88235294117647056</v>
      </c>
      <c r="BB78" s="24">
        <v>1</v>
      </c>
      <c r="BC78" s="24">
        <v>72</v>
      </c>
      <c r="BD78" s="24">
        <v>22.875</v>
      </c>
    </row>
    <row r="79" spans="52:56" x14ac:dyDescent="0.25">
      <c r="AZ79" s="24">
        <v>76</v>
      </c>
      <c r="BA79" s="24">
        <v>0.88235294117647056</v>
      </c>
      <c r="BB79" s="24">
        <v>1</v>
      </c>
      <c r="BC79" s="24">
        <v>73</v>
      </c>
      <c r="BD79" s="24">
        <v>23.18</v>
      </c>
    </row>
    <row r="80" spans="52:56" x14ac:dyDescent="0.25">
      <c r="AZ80" s="24">
        <v>77</v>
      </c>
      <c r="BA80" s="24">
        <v>0.88235294117647056</v>
      </c>
      <c r="BB80" s="24">
        <v>1</v>
      </c>
      <c r="BC80" s="24">
        <v>74</v>
      </c>
      <c r="BD80" s="24">
        <v>23.484999999999999</v>
      </c>
    </row>
    <row r="81" spans="52:56" x14ac:dyDescent="0.25">
      <c r="AZ81" s="24">
        <v>78</v>
      </c>
      <c r="BA81" s="24">
        <v>0.88235294117647056</v>
      </c>
      <c r="BB81" s="24">
        <v>1</v>
      </c>
      <c r="BC81" s="24">
        <v>75</v>
      </c>
      <c r="BD81" s="24">
        <v>23.79</v>
      </c>
    </row>
    <row r="82" spans="52:56" x14ac:dyDescent="0.25">
      <c r="AZ82" s="24">
        <v>79</v>
      </c>
      <c r="BA82" s="24">
        <v>0.88235294117647056</v>
      </c>
      <c r="BB82" s="24">
        <v>1</v>
      </c>
      <c r="BC82" s="24">
        <v>76</v>
      </c>
      <c r="BD82" s="24">
        <v>24.094999999999999</v>
      </c>
    </row>
    <row r="83" spans="52:56" x14ac:dyDescent="0.25">
      <c r="AZ83" s="24">
        <v>80</v>
      </c>
      <c r="BA83" s="24">
        <v>0.88235294117647056</v>
      </c>
      <c r="BB83" s="24">
        <v>1</v>
      </c>
      <c r="BC83" s="24">
        <v>77</v>
      </c>
      <c r="BD83" s="24">
        <v>24.4</v>
      </c>
    </row>
    <row r="84" spans="52:56" x14ac:dyDescent="0.25">
      <c r="AZ84" s="23">
        <v>81</v>
      </c>
      <c r="BA84" s="23">
        <v>0.88235294117647056</v>
      </c>
      <c r="BB84" s="23">
        <v>0</v>
      </c>
      <c r="BC84" s="23">
        <v>77</v>
      </c>
      <c r="BD84" s="23">
        <v>24.704999999999998</v>
      </c>
    </row>
    <row r="85" spans="52:56" x14ac:dyDescent="0.25">
      <c r="AZ85" s="23">
        <v>82</v>
      </c>
      <c r="BA85" s="23">
        <v>0.88235294117647056</v>
      </c>
      <c r="BB85" s="23">
        <v>1</v>
      </c>
      <c r="BC85" s="23">
        <v>78</v>
      </c>
      <c r="BD85" s="23">
        <v>25.009999999999998</v>
      </c>
    </row>
    <row r="86" spans="52:56" x14ac:dyDescent="0.25">
      <c r="AZ86" s="23">
        <v>83</v>
      </c>
      <c r="BA86" s="23">
        <v>0.88235294117647056</v>
      </c>
      <c r="BB86" s="23">
        <v>1</v>
      </c>
      <c r="BC86" s="23">
        <v>79</v>
      </c>
      <c r="BD86" s="23">
        <v>25.314999999999998</v>
      </c>
    </row>
    <row r="87" spans="52:56" x14ac:dyDescent="0.25">
      <c r="AZ87" s="23">
        <v>84</v>
      </c>
      <c r="BA87" s="23">
        <v>0.88235294117647056</v>
      </c>
      <c r="BB87" s="23">
        <v>1</v>
      </c>
      <c r="BC87" s="23">
        <v>80</v>
      </c>
      <c r="BD87" s="23">
        <v>25.62</v>
      </c>
    </row>
    <row r="88" spans="52:56" x14ac:dyDescent="0.25">
      <c r="AZ88" s="23">
        <v>85</v>
      </c>
      <c r="BA88" s="23">
        <v>0.82352941176470584</v>
      </c>
      <c r="BB88" s="23">
        <v>1</v>
      </c>
      <c r="BC88" s="23">
        <v>81</v>
      </c>
      <c r="BD88" s="23">
        <v>25.925000000000001</v>
      </c>
    </row>
    <row r="89" spans="52:56" x14ac:dyDescent="0.25">
      <c r="AZ89" s="23">
        <v>86</v>
      </c>
      <c r="BA89" s="23">
        <v>0.82352941176470584</v>
      </c>
      <c r="BB89" s="23">
        <v>1</v>
      </c>
      <c r="BC89" s="23">
        <v>82</v>
      </c>
      <c r="BD89" s="23">
        <v>26.23</v>
      </c>
    </row>
    <row r="90" spans="52:56" x14ac:dyDescent="0.25">
      <c r="AZ90" s="23">
        <v>87</v>
      </c>
      <c r="BA90" s="23">
        <v>0.82352941176470584</v>
      </c>
      <c r="BB90" s="23">
        <v>1</v>
      </c>
      <c r="BC90" s="23">
        <v>83</v>
      </c>
      <c r="BD90" s="23">
        <v>26.535</v>
      </c>
    </row>
    <row r="91" spans="52:56" x14ac:dyDescent="0.25">
      <c r="AZ91" s="23">
        <v>88</v>
      </c>
      <c r="BA91" s="23">
        <v>0.82352941176470584</v>
      </c>
      <c r="BB91" s="23">
        <v>0</v>
      </c>
      <c r="BC91" s="23">
        <v>83</v>
      </c>
      <c r="BD91" s="23">
        <v>26.84</v>
      </c>
    </row>
    <row r="92" spans="52:56" x14ac:dyDescent="0.25">
      <c r="AZ92" s="23">
        <v>89</v>
      </c>
      <c r="BA92" s="23">
        <v>0.82352941176470584</v>
      </c>
      <c r="BB92" s="23">
        <v>1</v>
      </c>
      <c r="BC92" s="23">
        <v>84</v>
      </c>
      <c r="BD92" s="23">
        <v>27.145</v>
      </c>
    </row>
    <row r="93" spans="52:56" x14ac:dyDescent="0.25">
      <c r="AZ93" s="23">
        <v>90</v>
      </c>
      <c r="BA93" s="23">
        <v>0.82352941176470584</v>
      </c>
      <c r="BB93" s="23">
        <v>1</v>
      </c>
      <c r="BC93" s="23">
        <v>85</v>
      </c>
      <c r="BD93" s="23">
        <v>27.45</v>
      </c>
    </row>
    <row r="94" spans="52:56" x14ac:dyDescent="0.25">
      <c r="AZ94" s="23">
        <v>91</v>
      </c>
      <c r="BA94" s="23">
        <v>0.82352941176470584</v>
      </c>
      <c r="BB94" s="23">
        <v>1</v>
      </c>
      <c r="BC94" s="23">
        <v>86</v>
      </c>
      <c r="BD94" s="23">
        <v>27.754999999999999</v>
      </c>
    </row>
    <row r="95" spans="52:56" x14ac:dyDescent="0.25">
      <c r="AZ95" s="23">
        <v>92</v>
      </c>
      <c r="BA95" s="23">
        <v>0.82352941176470584</v>
      </c>
      <c r="BB95" s="23">
        <v>1</v>
      </c>
      <c r="BC95" s="23">
        <v>87</v>
      </c>
      <c r="BD95" s="23">
        <v>28.06</v>
      </c>
    </row>
    <row r="96" spans="52:56" x14ac:dyDescent="0.25">
      <c r="AZ96" s="23">
        <v>93</v>
      </c>
      <c r="BA96" s="23">
        <v>0.82352941176470584</v>
      </c>
      <c r="BB96" s="23">
        <v>1</v>
      </c>
      <c r="BC96" s="23">
        <v>88</v>
      </c>
      <c r="BD96" s="23">
        <v>28.364999999999998</v>
      </c>
    </row>
    <row r="97" spans="52:56" x14ac:dyDescent="0.25">
      <c r="AZ97" s="23">
        <v>94</v>
      </c>
      <c r="BA97" s="23">
        <v>0.82352941176470584</v>
      </c>
      <c r="BB97" s="23">
        <v>0</v>
      </c>
      <c r="BC97" s="23">
        <v>88</v>
      </c>
      <c r="BD97" s="23">
        <v>28.669999999999998</v>
      </c>
    </row>
    <row r="98" spans="52:56" x14ac:dyDescent="0.25">
      <c r="AZ98" s="23">
        <v>95</v>
      </c>
      <c r="BA98" s="23">
        <v>0.82352941176470584</v>
      </c>
      <c r="BB98" s="23">
        <v>1</v>
      </c>
      <c r="BC98" s="23">
        <v>89</v>
      </c>
      <c r="BD98" s="23">
        <v>28.974999999999998</v>
      </c>
    </row>
    <row r="99" spans="52:56" x14ac:dyDescent="0.25">
      <c r="AZ99" s="23">
        <v>96</v>
      </c>
      <c r="BA99" s="23">
        <v>0.82352941176470584</v>
      </c>
      <c r="BB99" s="23">
        <v>0</v>
      </c>
      <c r="BC99" s="23">
        <v>89</v>
      </c>
      <c r="BD99" s="23">
        <v>29.28</v>
      </c>
    </row>
    <row r="100" spans="52:56" x14ac:dyDescent="0.25">
      <c r="AZ100" s="23">
        <v>97</v>
      </c>
      <c r="BA100" s="23">
        <v>0.82352941176470584</v>
      </c>
      <c r="BB100" s="23">
        <v>0</v>
      </c>
      <c r="BC100" s="23">
        <v>89</v>
      </c>
      <c r="BD100" s="23">
        <v>29.585000000000001</v>
      </c>
    </row>
    <row r="101" spans="52:56" x14ac:dyDescent="0.25">
      <c r="AZ101" s="23">
        <v>98</v>
      </c>
      <c r="BA101" s="23">
        <v>0.82352941176470584</v>
      </c>
      <c r="BB101" s="23">
        <v>1</v>
      </c>
      <c r="BC101" s="23">
        <v>90</v>
      </c>
      <c r="BD101" s="23">
        <v>29.89</v>
      </c>
    </row>
    <row r="102" spans="52:56" x14ac:dyDescent="0.25">
      <c r="AZ102" s="23">
        <v>99</v>
      </c>
      <c r="BA102" s="23">
        <v>0.82352941176470584</v>
      </c>
      <c r="BB102" s="23">
        <v>1</v>
      </c>
      <c r="BC102" s="23">
        <v>91</v>
      </c>
      <c r="BD102" s="23">
        <v>30.195</v>
      </c>
    </row>
    <row r="103" spans="52:56" x14ac:dyDescent="0.25">
      <c r="AZ103" s="23">
        <v>100</v>
      </c>
      <c r="BA103" s="23">
        <v>0.82352941176470584</v>
      </c>
      <c r="BB103" s="23">
        <v>1</v>
      </c>
      <c r="BC103" s="23">
        <v>92</v>
      </c>
      <c r="BD103" s="23">
        <v>30.5</v>
      </c>
    </row>
    <row r="104" spans="52:56" x14ac:dyDescent="0.25">
      <c r="AZ104" s="23">
        <v>101</v>
      </c>
      <c r="BA104" s="23">
        <v>0.82352941176470584</v>
      </c>
      <c r="BB104" s="23">
        <v>0</v>
      </c>
      <c r="BC104" s="23">
        <v>92</v>
      </c>
      <c r="BD104" s="23">
        <v>30.805</v>
      </c>
    </row>
    <row r="105" spans="52:56" x14ac:dyDescent="0.25">
      <c r="AZ105" s="23">
        <v>102</v>
      </c>
      <c r="BA105" s="23">
        <v>0.82352941176470584</v>
      </c>
      <c r="BB105" s="23">
        <v>0</v>
      </c>
      <c r="BC105" s="23">
        <v>92</v>
      </c>
      <c r="BD105" s="23">
        <v>31.11</v>
      </c>
    </row>
    <row r="106" spans="52:56" x14ac:dyDescent="0.25">
      <c r="AZ106" s="23">
        <v>103</v>
      </c>
      <c r="BA106" s="23">
        <v>0.82352941176470584</v>
      </c>
      <c r="BB106" s="23">
        <v>1</v>
      </c>
      <c r="BC106" s="23">
        <v>93</v>
      </c>
      <c r="BD106" s="23">
        <v>31.414999999999999</v>
      </c>
    </row>
    <row r="107" spans="52:56" x14ac:dyDescent="0.25">
      <c r="AZ107" s="23">
        <v>104</v>
      </c>
      <c r="BA107" s="23">
        <v>0.82352941176470584</v>
      </c>
      <c r="BB107" s="23">
        <v>0</v>
      </c>
      <c r="BC107" s="23">
        <v>93</v>
      </c>
      <c r="BD107" s="23">
        <v>31.72</v>
      </c>
    </row>
    <row r="108" spans="52:56" x14ac:dyDescent="0.25">
      <c r="AZ108" s="23">
        <v>105</v>
      </c>
      <c r="BA108" s="23">
        <v>0.82352941176470584</v>
      </c>
      <c r="BB108" s="23">
        <v>0</v>
      </c>
      <c r="BC108" s="23">
        <v>93</v>
      </c>
      <c r="BD108" s="23">
        <v>32.024999999999999</v>
      </c>
    </row>
    <row r="109" spans="52:56" x14ac:dyDescent="0.25">
      <c r="AZ109" s="23">
        <v>106</v>
      </c>
      <c r="BA109" s="23">
        <v>0.82352941176470584</v>
      </c>
      <c r="BB109" s="23">
        <v>0</v>
      </c>
      <c r="BC109" s="23">
        <v>93</v>
      </c>
      <c r="BD109" s="23">
        <v>32.33</v>
      </c>
    </row>
    <row r="110" spans="52:56" x14ac:dyDescent="0.25">
      <c r="AZ110" s="23">
        <v>107</v>
      </c>
      <c r="BA110" s="23">
        <v>0.82352941176470584</v>
      </c>
      <c r="BB110" s="23">
        <v>1</v>
      </c>
      <c r="BC110" s="23">
        <v>94</v>
      </c>
      <c r="BD110" s="23">
        <v>32.634999999999998</v>
      </c>
    </row>
    <row r="111" spans="52:56" x14ac:dyDescent="0.25">
      <c r="AZ111" s="23">
        <v>108</v>
      </c>
      <c r="BA111" s="23">
        <v>0.76470588235294112</v>
      </c>
      <c r="BB111" s="23">
        <v>1</v>
      </c>
      <c r="BC111" s="23">
        <v>95</v>
      </c>
      <c r="BD111" s="23">
        <v>32.94</v>
      </c>
    </row>
    <row r="112" spans="52:56" x14ac:dyDescent="0.25">
      <c r="AZ112" s="23">
        <v>109</v>
      </c>
      <c r="BA112" s="23">
        <v>0.76470588235294112</v>
      </c>
      <c r="BB112" s="23">
        <v>1</v>
      </c>
      <c r="BC112" s="23">
        <v>96</v>
      </c>
      <c r="BD112" s="23">
        <v>33.244999999999997</v>
      </c>
    </row>
    <row r="113" spans="52:56" x14ac:dyDescent="0.25">
      <c r="AZ113" s="23">
        <v>110</v>
      </c>
      <c r="BA113" s="23">
        <v>0.70588235294117652</v>
      </c>
      <c r="BB113" s="23">
        <v>1</v>
      </c>
      <c r="BC113" s="23">
        <v>97</v>
      </c>
      <c r="BD113" s="23">
        <v>33.549999999999997</v>
      </c>
    </row>
    <row r="114" spans="52:56" x14ac:dyDescent="0.25">
      <c r="AZ114" s="23">
        <v>111</v>
      </c>
      <c r="BA114" s="23">
        <v>0.70588235294117652</v>
      </c>
      <c r="BB114" s="23">
        <v>0</v>
      </c>
      <c r="BC114" s="23">
        <v>97</v>
      </c>
      <c r="BD114" s="23">
        <v>33.854999999999997</v>
      </c>
    </row>
    <row r="115" spans="52:56" x14ac:dyDescent="0.25">
      <c r="AZ115" s="23">
        <v>112</v>
      </c>
      <c r="BA115" s="23">
        <v>0.70588235294117652</v>
      </c>
      <c r="BB115" s="23">
        <v>0</v>
      </c>
      <c r="BC115" s="23">
        <v>97</v>
      </c>
      <c r="BD115" s="23">
        <v>34.159999999999997</v>
      </c>
    </row>
    <row r="116" spans="52:56" x14ac:dyDescent="0.25">
      <c r="AZ116" s="23">
        <v>113</v>
      </c>
      <c r="BA116" s="23">
        <v>0.70588235294117652</v>
      </c>
      <c r="BB116" s="23">
        <v>1</v>
      </c>
      <c r="BC116" s="23">
        <v>98</v>
      </c>
      <c r="BD116" s="23">
        <v>34.464999999999996</v>
      </c>
    </row>
    <row r="117" spans="52:56" x14ac:dyDescent="0.25">
      <c r="AZ117" s="23">
        <v>114</v>
      </c>
      <c r="BA117" s="23">
        <v>0.70588235294117652</v>
      </c>
      <c r="BB117" s="23">
        <v>1</v>
      </c>
      <c r="BC117" s="23">
        <v>99</v>
      </c>
      <c r="BD117" s="23">
        <v>34.769999999999996</v>
      </c>
    </row>
    <row r="118" spans="52:56" x14ac:dyDescent="0.25">
      <c r="AZ118" s="23">
        <v>115</v>
      </c>
      <c r="BA118" s="23">
        <v>0.70588235294117652</v>
      </c>
      <c r="BB118" s="23">
        <v>0</v>
      </c>
      <c r="BC118" s="23">
        <v>99</v>
      </c>
      <c r="BD118" s="23">
        <v>35.074999999999996</v>
      </c>
    </row>
    <row r="119" spans="52:56" x14ac:dyDescent="0.25">
      <c r="AZ119" s="23">
        <v>116</v>
      </c>
      <c r="BA119" s="23">
        <v>0.70588235294117652</v>
      </c>
      <c r="BB119" s="23">
        <v>1</v>
      </c>
      <c r="BC119" s="23">
        <v>100</v>
      </c>
      <c r="BD119" s="23">
        <v>35.380000000000003</v>
      </c>
    </row>
    <row r="120" spans="52:56" x14ac:dyDescent="0.25">
      <c r="AZ120" s="23">
        <v>117</v>
      </c>
      <c r="BA120" s="23">
        <v>0.70588235294117652</v>
      </c>
      <c r="BB120" s="23">
        <v>0</v>
      </c>
      <c r="BC120" s="23">
        <v>100</v>
      </c>
      <c r="BD120" s="23">
        <v>35.685000000000002</v>
      </c>
    </row>
    <row r="121" spans="52:56" x14ac:dyDescent="0.25">
      <c r="AZ121" s="23">
        <v>118</v>
      </c>
      <c r="BA121" s="23">
        <v>0.70588235294117652</v>
      </c>
      <c r="BB121" s="23">
        <v>1</v>
      </c>
      <c r="BC121" s="23">
        <v>101</v>
      </c>
      <c r="BD121" s="23">
        <v>35.99</v>
      </c>
    </row>
    <row r="122" spans="52:56" x14ac:dyDescent="0.25">
      <c r="AZ122" s="23">
        <v>119</v>
      </c>
      <c r="BA122" s="23">
        <v>0.6470588235294118</v>
      </c>
      <c r="BB122" s="23">
        <v>1</v>
      </c>
      <c r="BC122" s="23">
        <v>102</v>
      </c>
      <c r="BD122" s="23">
        <v>36.295000000000002</v>
      </c>
    </row>
    <row r="123" spans="52:56" x14ac:dyDescent="0.25">
      <c r="AZ123" s="23">
        <v>120</v>
      </c>
      <c r="BA123" s="23">
        <v>0.6470588235294118</v>
      </c>
      <c r="BB123" s="23">
        <v>0</v>
      </c>
      <c r="BC123" s="23">
        <v>102</v>
      </c>
      <c r="BD123" s="23">
        <v>36.6</v>
      </c>
    </row>
    <row r="124" spans="52:56" x14ac:dyDescent="0.25">
      <c r="AZ124" s="24">
        <v>121</v>
      </c>
      <c r="BA124" s="24">
        <v>0.6470588235294118</v>
      </c>
      <c r="BB124" s="24">
        <v>0</v>
      </c>
      <c r="BC124" s="24">
        <v>102</v>
      </c>
      <c r="BD124" s="24">
        <v>36.905000000000001</v>
      </c>
    </row>
    <row r="125" spans="52:56" x14ac:dyDescent="0.25">
      <c r="AZ125" s="24">
        <v>122</v>
      </c>
      <c r="BA125" s="24">
        <v>0.52941176470588236</v>
      </c>
      <c r="BB125" s="24">
        <v>1</v>
      </c>
      <c r="BC125" s="24">
        <v>103</v>
      </c>
      <c r="BD125" s="24">
        <v>37.21</v>
      </c>
    </row>
    <row r="126" spans="52:56" x14ac:dyDescent="0.25">
      <c r="AZ126" s="24">
        <v>123</v>
      </c>
      <c r="BA126" s="24">
        <v>0.47058823529411764</v>
      </c>
      <c r="BB126" s="24">
        <v>0</v>
      </c>
      <c r="BC126" s="24">
        <v>103</v>
      </c>
      <c r="BD126" s="24">
        <v>37.515000000000001</v>
      </c>
    </row>
    <row r="127" spans="52:56" x14ac:dyDescent="0.25">
      <c r="AZ127" s="24">
        <v>124</v>
      </c>
      <c r="BA127" s="24">
        <v>0.47058823529411764</v>
      </c>
      <c r="BB127" s="24">
        <v>0</v>
      </c>
      <c r="BC127" s="24">
        <v>103</v>
      </c>
      <c r="BD127" s="24">
        <v>37.82</v>
      </c>
    </row>
    <row r="128" spans="52:56" x14ac:dyDescent="0.25">
      <c r="AZ128" s="24">
        <v>125</v>
      </c>
      <c r="BA128" s="24">
        <v>0.47058823529411764</v>
      </c>
      <c r="BB128" s="24">
        <v>0</v>
      </c>
      <c r="BC128" s="24">
        <v>103</v>
      </c>
      <c r="BD128" s="24">
        <v>38.125</v>
      </c>
    </row>
    <row r="129" spans="52:56" x14ac:dyDescent="0.25">
      <c r="AZ129" s="24">
        <v>126</v>
      </c>
      <c r="BA129" s="24">
        <v>0.47058823529411764</v>
      </c>
      <c r="BB129" s="24">
        <v>0</v>
      </c>
      <c r="BC129" s="24">
        <v>103</v>
      </c>
      <c r="BD129" s="24">
        <v>38.43</v>
      </c>
    </row>
    <row r="130" spans="52:56" x14ac:dyDescent="0.25">
      <c r="AZ130" s="24">
        <v>127</v>
      </c>
      <c r="BA130" s="24">
        <v>0.41176470588235292</v>
      </c>
      <c r="BB130" s="24">
        <v>0</v>
      </c>
      <c r="BC130" s="24">
        <v>103</v>
      </c>
      <c r="BD130" s="24">
        <v>38.734999999999999</v>
      </c>
    </row>
    <row r="131" spans="52:56" x14ac:dyDescent="0.25">
      <c r="AZ131" s="24">
        <v>128</v>
      </c>
      <c r="BA131" s="24">
        <v>0.41176470588235292</v>
      </c>
      <c r="BB131" s="24">
        <v>0</v>
      </c>
      <c r="BC131" s="24">
        <v>103</v>
      </c>
      <c r="BD131" s="24">
        <v>39.04</v>
      </c>
    </row>
    <row r="132" spans="52:56" x14ac:dyDescent="0.25">
      <c r="AZ132" s="24">
        <v>129</v>
      </c>
      <c r="BA132" s="24">
        <v>0.41176470588235292</v>
      </c>
      <c r="BB132" s="24">
        <v>0</v>
      </c>
      <c r="BC132" s="24">
        <v>103</v>
      </c>
      <c r="BD132" s="24">
        <v>39.344999999999999</v>
      </c>
    </row>
    <row r="133" spans="52:56" x14ac:dyDescent="0.25">
      <c r="AZ133" s="24">
        <v>130</v>
      </c>
      <c r="BA133" s="24">
        <v>0.41176470588235292</v>
      </c>
      <c r="BB133" s="24">
        <v>0</v>
      </c>
      <c r="BC133" s="24">
        <v>103</v>
      </c>
      <c r="BD133" s="24">
        <v>39.65</v>
      </c>
    </row>
    <row r="134" spans="52:56" x14ac:dyDescent="0.25">
      <c r="AZ134" s="24">
        <v>131</v>
      </c>
      <c r="BA134" s="24">
        <v>0.41176470588235292</v>
      </c>
      <c r="BB134" s="24">
        <v>0</v>
      </c>
      <c r="BC134" s="24">
        <v>103</v>
      </c>
      <c r="BD134" s="24">
        <v>39.954999999999998</v>
      </c>
    </row>
    <row r="135" spans="52:56" x14ac:dyDescent="0.25">
      <c r="AZ135" s="24">
        <v>132</v>
      </c>
      <c r="BA135" s="24">
        <v>0.41176470588235292</v>
      </c>
      <c r="BB135" s="24">
        <v>0</v>
      </c>
      <c r="BC135" s="24">
        <v>103</v>
      </c>
      <c r="BD135" s="24">
        <v>40.26</v>
      </c>
    </row>
    <row r="136" spans="52:56" x14ac:dyDescent="0.25">
      <c r="AZ136" s="24">
        <v>133</v>
      </c>
      <c r="BA136" s="24">
        <v>0.41176470588235292</v>
      </c>
      <c r="BB136" s="24">
        <v>0</v>
      </c>
      <c r="BC136" s="24">
        <v>103</v>
      </c>
      <c r="BD136" s="24">
        <v>40.564999999999998</v>
      </c>
    </row>
    <row r="137" spans="52:56" x14ac:dyDescent="0.25">
      <c r="AZ137" s="24">
        <v>134</v>
      </c>
      <c r="BA137" s="24">
        <v>0.41176470588235292</v>
      </c>
      <c r="BB137" s="24">
        <v>1</v>
      </c>
      <c r="BC137" s="24">
        <v>104</v>
      </c>
      <c r="BD137" s="24">
        <v>40.869999999999997</v>
      </c>
    </row>
    <row r="138" spans="52:56" x14ac:dyDescent="0.25">
      <c r="AZ138" s="24">
        <v>135</v>
      </c>
      <c r="BA138" s="24">
        <v>0.41176470588235292</v>
      </c>
      <c r="BB138" s="24">
        <v>0</v>
      </c>
      <c r="BC138" s="24">
        <v>104</v>
      </c>
      <c r="BD138" s="24">
        <v>41.174999999999997</v>
      </c>
    </row>
    <row r="139" spans="52:56" x14ac:dyDescent="0.25">
      <c r="AZ139" s="24">
        <v>136</v>
      </c>
      <c r="BA139" s="24">
        <v>0.41176470588235292</v>
      </c>
      <c r="BB139" s="24">
        <v>0</v>
      </c>
      <c r="BC139" s="24">
        <v>104</v>
      </c>
      <c r="BD139" s="24">
        <v>41.48</v>
      </c>
    </row>
    <row r="140" spans="52:56" x14ac:dyDescent="0.25">
      <c r="AZ140" s="24">
        <v>137</v>
      </c>
      <c r="BA140" s="24">
        <v>0.41176470588235292</v>
      </c>
      <c r="BB140" s="24">
        <v>0</v>
      </c>
      <c r="BC140" s="24">
        <v>104</v>
      </c>
      <c r="BD140" s="24">
        <v>41.784999999999997</v>
      </c>
    </row>
    <row r="141" spans="52:56" x14ac:dyDescent="0.25">
      <c r="AZ141" s="24">
        <v>138</v>
      </c>
      <c r="BA141" s="24">
        <v>0.41176470588235292</v>
      </c>
      <c r="BB141" s="24">
        <v>0</v>
      </c>
      <c r="BC141" s="24">
        <v>104</v>
      </c>
      <c r="BD141" s="24">
        <v>42.089999999999996</v>
      </c>
    </row>
    <row r="142" spans="52:56" x14ac:dyDescent="0.25">
      <c r="AZ142" s="24">
        <v>139</v>
      </c>
      <c r="BA142" s="24">
        <v>0.35294117647058826</v>
      </c>
      <c r="BB142" s="24">
        <v>0</v>
      </c>
      <c r="BC142" s="24">
        <v>104</v>
      </c>
      <c r="BD142" s="24">
        <v>42.394999999999996</v>
      </c>
    </row>
    <row r="143" spans="52:56" x14ac:dyDescent="0.25">
      <c r="AZ143" s="24">
        <v>140</v>
      </c>
      <c r="BA143" s="24">
        <v>0.35294117647058826</v>
      </c>
      <c r="BB143" s="24">
        <v>1</v>
      </c>
      <c r="BC143" s="24">
        <v>105</v>
      </c>
      <c r="BD143" s="24">
        <v>42.699999999999996</v>
      </c>
    </row>
    <row r="144" spans="52:56" x14ac:dyDescent="0.25">
      <c r="AZ144" s="24">
        <v>141</v>
      </c>
      <c r="BA144" s="24">
        <v>0.35294117647058826</v>
      </c>
      <c r="BB144" s="24">
        <v>1</v>
      </c>
      <c r="BC144" s="24">
        <v>106</v>
      </c>
      <c r="BD144" s="24">
        <v>43.005000000000003</v>
      </c>
    </row>
    <row r="145" spans="52:56" x14ac:dyDescent="0.25">
      <c r="AZ145" s="24">
        <v>142</v>
      </c>
      <c r="BA145" s="24">
        <v>0.35294117647058826</v>
      </c>
      <c r="BB145" s="24">
        <v>1</v>
      </c>
      <c r="BC145" s="24">
        <v>107</v>
      </c>
      <c r="BD145" s="24">
        <v>43.31</v>
      </c>
    </row>
    <row r="146" spans="52:56" x14ac:dyDescent="0.25">
      <c r="AZ146" s="24">
        <v>143</v>
      </c>
      <c r="BA146" s="24">
        <v>0.29411764705882354</v>
      </c>
      <c r="BB146" s="24">
        <v>0</v>
      </c>
      <c r="BC146" s="24">
        <v>107</v>
      </c>
      <c r="BD146" s="24">
        <v>43.615000000000002</v>
      </c>
    </row>
    <row r="147" spans="52:56" x14ac:dyDescent="0.25">
      <c r="AZ147" s="24">
        <v>144</v>
      </c>
      <c r="BA147" s="24">
        <v>0.29411764705882354</v>
      </c>
      <c r="BB147" s="24">
        <v>0</v>
      </c>
      <c r="BC147" s="24">
        <v>107</v>
      </c>
      <c r="BD147" s="24">
        <v>43.92</v>
      </c>
    </row>
    <row r="148" spans="52:56" x14ac:dyDescent="0.25">
      <c r="AZ148" s="24">
        <v>145</v>
      </c>
      <c r="BA148" s="24">
        <v>0.29411764705882354</v>
      </c>
      <c r="BB148" s="24">
        <v>0</v>
      </c>
      <c r="BC148" s="24">
        <v>107</v>
      </c>
      <c r="BD148" s="24">
        <v>44.225000000000001</v>
      </c>
    </row>
    <row r="149" spans="52:56" x14ac:dyDescent="0.25">
      <c r="AZ149" s="24">
        <v>146</v>
      </c>
      <c r="BA149" s="24">
        <v>0.29411764705882354</v>
      </c>
      <c r="BB149" s="24">
        <v>1</v>
      </c>
      <c r="BC149" s="24">
        <v>108</v>
      </c>
      <c r="BD149" s="24">
        <v>44.53</v>
      </c>
    </row>
    <row r="150" spans="52:56" x14ac:dyDescent="0.25">
      <c r="AZ150" s="24">
        <v>147</v>
      </c>
      <c r="BA150" s="24">
        <v>0.29411764705882354</v>
      </c>
      <c r="BB150" s="24">
        <v>0</v>
      </c>
      <c r="BC150" s="24">
        <v>108</v>
      </c>
      <c r="BD150" s="24">
        <v>44.835000000000001</v>
      </c>
    </row>
    <row r="151" spans="52:56" x14ac:dyDescent="0.25">
      <c r="AZ151" s="24">
        <v>148</v>
      </c>
      <c r="BA151" s="24">
        <v>0.29411764705882354</v>
      </c>
      <c r="BB151" s="24">
        <v>0</v>
      </c>
      <c r="BC151" s="24">
        <v>108</v>
      </c>
      <c r="BD151" s="24">
        <v>45.14</v>
      </c>
    </row>
    <row r="152" spans="52:56" x14ac:dyDescent="0.25">
      <c r="AZ152" s="24">
        <v>149</v>
      </c>
      <c r="BA152" s="24">
        <v>0.29411764705882354</v>
      </c>
      <c r="BB152" s="24">
        <v>0</v>
      </c>
      <c r="BC152" s="24">
        <v>108</v>
      </c>
      <c r="BD152" s="24">
        <v>45.445</v>
      </c>
    </row>
    <row r="153" spans="52:56" x14ac:dyDescent="0.25">
      <c r="AZ153" s="24">
        <v>150</v>
      </c>
      <c r="BA153" s="24">
        <v>0.29411764705882354</v>
      </c>
      <c r="BB153" s="24">
        <v>0</v>
      </c>
      <c r="BC153" s="24">
        <v>108</v>
      </c>
      <c r="BD153" s="24">
        <v>45.75</v>
      </c>
    </row>
    <row r="154" spans="52:56" x14ac:dyDescent="0.25">
      <c r="AZ154" s="24">
        <v>151</v>
      </c>
      <c r="BA154" s="24">
        <v>0.29411764705882354</v>
      </c>
      <c r="BB154" s="24">
        <v>0</v>
      </c>
      <c r="BC154" s="24">
        <v>108</v>
      </c>
      <c r="BD154" s="24">
        <v>46.055</v>
      </c>
    </row>
    <row r="155" spans="52:56" x14ac:dyDescent="0.25">
      <c r="AZ155" s="24">
        <v>152</v>
      </c>
      <c r="BA155" s="24">
        <v>0.29411764705882354</v>
      </c>
      <c r="BB155" s="24">
        <v>1</v>
      </c>
      <c r="BC155" s="24">
        <v>109</v>
      </c>
      <c r="BD155" s="24">
        <v>46.36</v>
      </c>
    </row>
    <row r="156" spans="52:56" x14ac:dyDescent="0.25">
      <c r="AZ156" s="24">
        <v>153</v>
      </c>
      <c r="BA156" s="24">
        <v>0.29411764705882354</v>
      </c>
      <c r="BB156" s="24">
        <v>1</v>
      </c>
      <c r="BC156" s="24">
        <v>110</v>
      </c>
      <c r="BD156" s="24">
        <v>46.664999999999999</v>
      </c>
    </row>
    <row r="157" spans="52:56" x14ac:dyDescent="0.25">
      <c r="AZ157" s="24">
        <v>154</v>
      </c>
      <c r="BA157" s="24">
        <v>0.23529411764705882</v>
      </c>
      <c r="BB157" s="24">
        <v>0</v>
      </c>
      <c r="BC157" s="24">
        <v>110</v>
      </c>
      <c r="BD157" s="24">
        <v>46.97</v>
      </c>
    </row>
    <row r="158" spans="52:56" x14ac:dyDescent="0.25">
      <c r="AZ158" s="24">
        <v>155</v>
      </c>
      <c r="BA158" s="24">
        <v>0.23529411764705882</v>
      </c>
      <c r="BB158" s="24">
        <v>0</v>
      </c>
      <c r="BC158" s="24">
        <v>110</v>
      </c>
      <c r="BD158" s="24">
        <v>47.274999999999999</v>
      </c>
    </row>
    <row r="159" spans="52:56" x14ac:dyDescent="0.25">
      <c r="AZ159" s="24">
        <v>156</v>
      </c>
      <c r="BA159" s="24">
        <v>0.23529411764705882</v>
      </c>
      <c r="BB159" s="24">
        <v>0</v>
      </c>
      <c r="BC159" s="24">
        <v>110</v>
      </c>
      <c r="BD159" s="24">
        <v>47.58</v>
      </c>
    </row>
    <row r="160" spans="52:56" x14ac:dyDescent="0.25">
      <c r="AZ160" s="24">
        <v>157</v>
      </c>
      <c r="BA160" s="24">
        <v>0.23529411764705882</v>
      </c>
      <c r="BB160" s="24">
        <v>0</v>
      </c>
      <c r="BC160" s="24">
        <v>110</v>
      </c>
      <c r="BD160" s="24">
        <v>47.884999999999998</v>
      </c>
    </row>
    <row r="161" spans="52:56" x14ac:dyDescent="0.25">
      <c r="AZ161" s="24">
        <v>158</v>
      </c>
      <c r="BA161" s="24">
        <v>0.23529411764705882</v>
      </c>
      <c r="BB161" s="24">
        <v>1</v>
      </c>
      <c r="BC161" s="24">
        <v>111</v>
      </c>
      <c r="BD161" s="24">
        <v>48.19</v>
      </c>
    </row>
    <row r="162" spans="52:56" x14ac:dyDescent="0.25">
      <c r="AZ162" s="24">
        <v>159</v>
      </c>
      <c r="BA162" s="24">
        <v>0.23529411764705882</v>
      </c>
      <c r="BB162" s="24">
        <v>1</v>
      </c>
      <c r="BC162" s="24">
        <v>112</v>
      </c>
      <c r="BD162" s="24">
        <v>48.494999999999997</v>
      </c>
    </row>
    <row r="163" spans="52:56" x14ac:dyDescent="0.25">
      <c r="AZ163" s="24">
        <v>160</v>
      </c>
      <c r="BA163" s="24">
        <v>0.23529411764705882</v>
      </c>
      <c r="BB163" s="24">
        <v>1</v>
      </c>
      <c r="BC163" s="24">
        <v>113</v>
      </c>
      <c r="BD163" s="24">
        <v>48.8</v>
      </c>
    </row>
    <row r="164" spans="52:56" x14ac:dyDescent="0.25">
      <c r="AZ164" s="23">
        <v>161</v>
      </c>
      <c r="BA164" s="23">
        <v>0.23529411764705882</v>
      </c>
      <c r="BB164" s="23">
        <v>1</v>
      </c>
      <c r="BC164" s="23">
        <v>114</v>
      </c>
      <c r="BD164" s="23">
        <v>49.104999999999997</v>
      </c>
    </row>
    <row r="165" spans="52:56" x14ac:dyDescent="0.25">
      <c r="AZ165" s="23">
        <v>162</v>
      </c>
      <c r="BA165" s="23">
        <v>0.23529411764705882</v>
      </c>
      <c r="BB165" s="23">
        <v>0</v>
      </c>
      <c r="BC165" s="23">
        <v>114</v>
      </c>
      <c r="BD165" s="23">
        <v>49.41</v>
      </c>
    </row>
    <row r="166" spans="52:56" x14ac:dyDescent="0.25">
      <c r="AZ166" s="23">
        <v>163</v>
      </c>
      <c r="BA166" s="23">
        <v>0.23529411764705882</v>
      </c>
      <c r="BB166" s="23">
        <v>0</v>
      </c>
      <c r="BC166" s="23">
        <v>114</v>
      </c>
      <c r="BD166" s="23">
        <v>49.714999999999996</v>
      </c>
    </row>
    <row r="167" spans="52:56" x14ac:dyDescent="0.25">
      <c r="AZ167" s="23">
        <v>164</v>
      </c>
      <c r="BA167" s="23">
        <v>0.23529411764705882</v>
      </c>
      <c r="BB167" s="23">
        <v>0</v>
      </c>
      <c r="BC167" s="23">
        <v>114</v>
      </c>
      <c r="BD167" s="23">
        <v>50.019999999999996</v>
      </c>
    </row>
    <row r="168" spans="52:56" x14ac:dyDescent="0.25">
      <c r="AZ168" s="23">
        <v>165</v>
      </c>
      <c r="BA168" s="23">
        <v>0.23529411764705882</v>
      </c>
      <c r="BB168" s="23">
        <v>0</v>
      </c>
      <c r="BC168" s="23">
        <v>114</v>
      </c>
      <c r="BD168" s="23">
        <v>50.324999999999996</v>
      </c>
    </row>
    <row r="169" spans="52:56" x14ac:dyDescent="0.25">
      <c r="AZ169" s="23">
        <v>166</v>
      </c>
      <c r="BA169" s="23">
        <v>0.23529411764705882</v>
      </c>
      <c r="BB169" s="23">
        <v>0</v>
      </c>
      <c r="BC169" s="23">
        <v>114</v>
      </c>
      <c r="BD169" s="23">
        <v>50.629999999999995</v>
      </c>
    </row>
    <row r="170" spans="52:56" x14ac:dyDescent="0.25">
      <c r="AZ170" s="23">
        <v>167</v>
      </c>
      <c r="BA170" s="23">
        <v>0.23529411764705882</v>
      </c>
      <c r="BB170" s="23">
        <v>0</v>
      </c>
      <c r="BC170" s="23">
        <v>114</v>
      </c>
      <c r="BD170" s="23">
        <v>50.935000000000002</v>
      </c>
    </row>
    <row r="171" spans="52:56" x14ac:dyDescent="0.25">
      <c r="AZ171" s="23">
        <v>168</v>
      </c>
      <c r="BA171" s="23">
        <v>0.23529411764705882</v>
      </c>
      <c r="BB171" s="23">
        <v>0</v>
      </c>
      <c r="BC171" s="23">
        <v>114</v>
      </c>
      <c r="BD171" s="23">
        <v>51.24</v>
      </c>
    </row>
    <row r="172" spans="52:56" x14ac:dyDescent="0.25">
      <c r="AZ172" s="23">
        <v>169</v>
      </c>
      <c r="BA172" s="23">
        <v>0.23529411764705882</v>
      </c>
      <c r="BB172" s="23">
        <v>0</v>
      </c>
      <c r="BC172" s="23">
        <v>114</v>
      </c>
      <c r="BD172" s="23">
        <v>51.545000000000002</v>
      </c>
    </row>
    <row r="173" spans="52:56" x14ac:dyDescent="0.25">
      <c r="AZ173" s="23">
        <v>170</v>
      </c>
      <c r="BA173" s="23">
        <v>0.23529411764705882</v>
      </c>
      <c r="BB173" s="23">
        <v>1</v>
      </c>
      <c r="BC173" s="23">
        <v>115</v>
      </c>
      <c r="BD173" s="23">
        <v>51.85</v>
      </c>
    </row>
    <row r="174" spans="52:56" x14ac:dyDescent="0.25">
      <c r="AZ174" s="23">
        <v>171</v>
      </c>
      <c r="BA174" s="23">
        <v>0.23529411764705882</v>
      </c>
      <c r="BB174" s="23">
        <v>1</v>
      </c>
      <c r="BC174" s="23">
        <v>116</v>
      </c>
      <c r="BD174" s="23">
        <v>52.155000000000001</v>
      </c>
    </row>
    <row r="175" spans="52:56" x14ac:dyDescent="0.25">
      <c r="AZ175" s="23">
        <v>172</v>
      </c>
      <c r="BA175" s="23">
        <v>0.23529411764705882</v>
      </c>
      <c r="BB175" s="23">
        <v>0</v>
      </c>
      <c r="BC175" s="23">
        <v>116</v>
      </c>
      <c r="BD175" s="23">
        <v>52.46</v>
      </c>
    </row>
    <row r="176" spans="52:56" x14ac:dyDescent="0.25">
      <c r="AZ176" s="23">
        <v>173</v>
      </c>
      <c r="BA176" s="23">
        <v>0.23529411764705882</v>
      </c>
      <c r="BB176" s="23">
        <v>0</v>
      </c>
      <c r="BC176" s="23">
        <v>116</v>
      </c>
      <c r="BD176" s="23">
        <v>52.765000000000001</v>
      </c>
    </row>
    <row r="177" spans="52:56" x14ac:dyDescent="0.25">
      <c r="AZ177" s="23">
        <v>174</v>
      </c>
      <c r="BA177" s="23">
        <v>0.23529411764705882</v>
      </c>
      <c r="BB177" s="23">
        <v>0</v>
      </c>
      <c r="BC177" s="23">
        <v>116</v>
      </c>
      <c r="BD177" s="23">
        <v>53.07</v>
      </c>
    </row>
    <row r="178" spans="52:56" x14ac:dyDescent="0.25">
      <c r="AZ178" s="23">
        <v>175</v>
      </c>
      <c r="BA178" s="23">
        <v>0.23529411764705882</v>
      </c>
      <c r="BB178" s="23">
        <v>0</v>
      </c>
      <c r="BC178" s="23">
        <v>116</v>
      </c>
      <c r="BD178" s="23">
        <v>53.375</v>
      </c>
    </row>
    <row r="179" spans="52:56" x14ac:dyDescent="0.25">
      <c r="AZ179" s="23">
        <v>176</v>
      </c>
      <c r="BA179" s="23">
        <v>0.23529411764705882</v>
      </c>
      <c r="BB179" s="23">
        <v>0</v>
      </c>
      <c r="BC179" s="23">
        <v>116</v>
      </c>
      <c r="BD179" s="23">
        <v>53.68</v>
      </c>
    </row>
    <row r="180" spans="52:56" x14ac:dyDescent="0.25">
      <c r="AZ180" s="23">
        <v>177</v>
      </c>
      <c r="BA180" s="23">
        <v>0.23529411764705882</v>
      </c>
      <c r="BB180" s="23">
        <v>1</v>
      </c>
      <c r="BC180" s="23">
        <v>117</v>
      </c>
      <c r="BD180" s="23">
        <v>53.984999999999999</v>
      </c>
    </row>
    <row r="181" spans="52:56" x14ac:dyDescent="0.25">
      <c r="AZ181" s="23">
        <v>178</v>
      </c>
      <c r="BA181" s="23">
        <v>0.23529411764705882</v>
      </c>
      <c r="BB181" s="23">
        <v>1</v>
      </c>
      <c r="BC181" s="23">
        <v>118</v>
      </c>
      <c r="BD181" s="23">
        <v>54.29</v>
      </c>
    </row>
    <row r="182" spans="52:56" x14ac:dyDescent="0.25">
      <c r="AZ182" s="23">
        <v>179</v>
      </c>
      <c r="BA182" s="23">
        <v>0.17647058823529413</v>
      </c>
      <c r="BB182" s="23">
        <v>1</v>
      </c>
      <c r="BC182" s="23">
        <v>119</v>
      </c>
      <c r="BD182" s="23">
        <v>54.594999999999999</v>
      </c>
    </row>
    <row r="183" spans="52:56" x14ac:dyDescent="0.25">
      <c r="AZ183" s="23">
        <v>180</v>
      </c>
      <c r="BA183" s="23">
        <v>0.17647058823529413</v>
      </c>
      <c r="BB183" s="23">
        <v>0</v>
      </c>
      <c r="BC183" s="23">
        <v>119</v>
      </c>
      <c r="BD183" s="23">
        <v>54.9</v>
      </c>
    </row>
    <row r="184" spans="52:56" x14ac:dyDescent="0.25">
      <c r="AZ184" s="23">
        <v>181</v>
      </c>
      <c r="BA184" s="23">
        <v>0.17647058823529413</v>
      </c>
      <c r="BB184" s="23">
        <v>0</v>
      </c>
      <c r="BC184" s="23">
        <v>119</v>
      </c>
      <c r="BD184" s="23">
        <v>55.204999999999998</v>
      </c>
    </row>
    <row r="185" spans="52:56" x14ac:dyDescent="0.25">
      <c r="AZ185" s="23">
        <v>182</v>
      </c>
      <c r="BA185" s="23">
        <v>0.17647058823529413</v>
      </c>
      <c r="BB185" s="23">
        <v>0</v>
      </c>
      <c r="BC185" s="23">
        <v>119</v>
      </c>
      <c r="BD185" s="23">
        <v>55.51</v>
      </c>
    </row>
    <row r="186" spans="52:56" x14ac:dyDescent="0.25">
      <c r="AZ186" s="23">
        <v>183</v>
      </c>
      <c r="BA186" s="23">
        <v>0.17647058823529413</v>
      </c>
      <c r="BB186" s="23">
        <v>0</v>
      </c>
      <c r="BC186" s="23">
        <v>119</v>
      </c>
      <c r="BD186" s="23">
        <v>55.814999999999998</v>
      </c>
    </row>
    <row r="187" spans="52:56" x14ac:dyDescent="0.25">
      <c r="AZ187" s="23">
        <v>184</v>
      </c>
      <c r="BA187" s="23">
        <v>0.17647058823529413</v>
      </c>
      <c r="BB187" s="23">
        <v>0</v>
      </c>
      <c r="BC187" s="23">
        <v>119</v>
      </c>
      <c r="BD187" s="23">
        <v>56.12</v>
      </c>
    </row>
    <row r="188" spans="52:56" x14ac:dyDescent="0.25">
      <c r="AZ188" s="23">
        <v>185</v>
      </c>
      <c r="BA188" s="23">
        <v>0.17647058823529413</v>
      </c>
      <c r="BB188" s="23">
        <v>0</v>
      </c>
      <c r="BC188" s="23">
        <v>119</v>
      </c>
      <c r="BD188" s="23">
        <v>56.424999999999997</v>
      </c>
    </row>
    <row r="189" spans="52:56" x14ac:dyDescent="0.25">
      <c r="AZ189" s="23">
        <v>186</v>
      </c>
      <c r="BA189" s="23">
        <v>0.17647058823529413</v>
      </c>
      <c r="BB189" s="23">
        <v>0</v>
      </c>
      <c r="BC189" s="23">
        <v>119</v>
      </c>
      <c r="BD189" s="23">
        <v>56.73</v>
      </c>
    </row>
    <row r="190" spans="52:56" x14ac:dyDescent="0.25">
      <c r="AZ190" s="23">
        <v>187</v>
      </c>
      <c r="BA190" s="23">
        <v>0.17647058823529413</v>
      </c>
      <c r="BB190" s="23">
        <v>0</v>
      </c>
      <c r="BC190" s="23">
        <v>119</v>
      </c>
      <c r="BD190" s="23">
        <v>57.034999999999997</v>
      </c>
    </row>
    <row r="191" spans="52:56" x14ac:dyDescent="0.25">
      <c r="AZ191" s="23">
        <v>188</v>
      </c>
      <c r="BA191" s="23">
        <v>0.17647058823529413</v>
      </c>
      <c r="BB191" s="23">
        <v>0</v>
      </c>
      <c r="BC191" s="23">
        <v>119</v>
      </c>
      <c r="BD191" s="23">
        <v>57.339999999999996</v>
      </c>
    </row>
    <row r="192" spans="52:56" x14ac:dyDescent="0.25">
      <c r="AZ192" s="23">
        <v>189</v>
      </c>
      <c r="BA192" s="23">
        <v>0.11764705882352941</v>
      </c>
      <c r="BB192" s="23">
        <v>0</v>
      </c>
      <c r="BC192" s="23">
        <v>119</v>
      </c>
      <c r="BD192" s="23">
        <v>57.644999999999996</v>
      </c>
    </row>
    <row r="193" spans="52:56" x14ac:dyDescent="0.25">
      <c r="AZ193" s="23">
        <v>190</v>
      </c>
      <c r="BA193" s="23">
        <v>0.11764705882352941</v>
      </c>
      <c r="BB193" s="23">
        <v>0</v>
      </c>
      <c r="BC193" s="23">
        <v>119</v>
      </c>
      <c r="BD193" s="23">
        <v>57.949999999999996</v>
      </c>
    </row>
    <row r="194" spans="52:56" x14ac:dyDescent="0.25">
      <c r="AZ194" s="23">
        <v>191</v>
      </c>
      <c r="BA194" s="23">
        <v>0.11764705882352941</v>
      </c>
      <c r="BB194" s="23">
        <v>0</v>
      </c>
      <c r="BC194" s="23">
        <v>119</v>
      </c>
      <c r="BD194" s="23">
        <v>58.254999999999995</v>
      </c>
    </row>
    <row r="195" spans="52:56" x14ac:dyDescent="0.25">
      <c r="AZ195" s="23">
        <v>192</v>
      </c>
      <c r="BA195" s="23">
        <v>5.8823529411764705E-2</v>
      </c>
      <c r="BB195" s="23">
        <v>1</v>
      </c>
      <c r="BC195" s="23">
        <v>120</v>
      </c>
      <c r="BD195" s="23">
        <v>58.56</v>
      </c>
    </row>
    <row r="196" spans="52:56" x14ac:dyDescent="0.25">
      <c r="AZ196" s="23">
        <v>193</v>
      </c>
      <c r="BA196" s="23">
        <v>5.8823529411764705E-2</v>
      </c>
      <c r="BB196" s="23">
        <v>0</v>
      </c>
      <c r="BC196" s="23">
        <v>120</v>
      </c>
      <c r="BD196" s="23">
        <v>58.865000000000002</v>
      </c>
    </row>
    <row r="197" spans="52:56" x14ac:dyDescent="0.25">
      <c r="AZ197" s="23">
        <v>194</v>
      </c>
      <c r="BA197" s="23">
        <v>5.8823529411764705E-2</v>
      </c>
      <c r="BB197" s="23">
        <v>0</v>
      </c>
      <c r="BC197" s="23">
        <v>120</v>
      </c>
      <c r="BD197" s="23">
        <v>59.17</v>
      </c>
    </row>
    <row r="198" spans="52:56" x14ac:dyDescent="0.25">
      <c r="AZ198" s="23">
        <v>195</v>
      </c>
      <c r="BA198" s="23">
        <v>5.8823529411764705E-2</v>
      </c>
      <c r="BB198" s="23">
        <v>0</v>
      </c>
      <c r="BC198" s="23">
        <v>120</v>
      </c>
      <c r="BD198" s="23">
        <v>59.475000000000001</v>
      </c>
    </row>
    <row r="199" spans="52:56" x14ac:dyDescent="0.25">
      <c r="AZ199" s="23">
        <v>196</v>
      </c>
      <c r="BA199" s="23">
        <v>5.8823529411764705E-2</v>
      </c>
      <c r="BB199" s="23">
        <v>0</v>
      </c>
      <c r="BC199" s="23">
        <v>120</v>
      </c>
      <c r="BD199" s="23">
        <v>59.78</v>
      </c>
    </row>
    <row r="200" spans="52:56" x14ac:dyDescent="0.25">
      <c r="AZ200" s="23">
        <v>197</v>
      </c>
      <c r="BA200" s="23">
        <v>5.8823529411764705E-2</v>
      </c>
      <c r="BB200" s="23">
        <v>0</v>
      </c>
      <c r="BC200" s="23">
        <v>120</v>
      </c>
      <c r="BD200" s="23">
        <v>60.085000000000001</v>
      </c>
    </row>
    <row r="201" spans="52:56" x14ac:dyDescent="0.25">
      <c r="AZ201" s="23">
        <v>198</v>
      </c>
      <c r="BA201" s="23">
        <v>5.8823529411764705E-2</v>
      </c>
      <c r="BB201" s="23">
        <v>1</v>
      </c>
      <c r="BC201" s="23">
        <v>121</v>
      </c>
      <c r="BD201" s="23">
        <v>60.39</v>
      </c>
    </row>
    <row r="202" spans="52:56" x14ac:dyDescent="0.25">
      <c r="AZ202" s="23">
        <v>199</v>
      </c>
      <c r="BA202" s="23">
        <v>5.8823529411764705E-2</v>
      </c>
      <c r="BB202" s="23">
        <v>0</v>
      </c>
      <c r="BC202" s="23">
        <v>121</v>
      </c>
      <c r="BD202" s="23">
        <v>60.695</v>
      </c>
    </row>
    <row r="203" spans="52:56" x14ac:dyDescent="0.25">
      <c r="AZ203" s="23">
        <v>200</v>
      </c>
      <c r="BA203" s="23">
        <v>5.8823529411764705E-2</v>
      </c>
      <c r="BB203" s="23">
        <v>0</v>
      </c>
      <c r="BC203" s="23">
        <v>121</v>
      </c>
      <c r="BD203" s="23">
        <v>61</v>
      </c>
    </row>
    <row r="204" spans="52:56" x14ac:dyDescent="0.25">
      <c r="AZ204" s="24">
        <v>201</v>
      </c>
      <c r="BA204" s="24">
        <v>5.8823529411764705E-2</v>
      </c>
      <c r="BB204" s="24">
        <v>0</v>
      </c>
      <c r="BC204" s="24">
        <v>121</v>
      </c>
      <c r="BD204" s="24">
        <v>61.305</v>
      </c>
    </row>
    <row r="205" spans="52:56" x14ac:dyDescent="0.25">
      <c r="AZ205" s="24">
        <v>202</v>
      </c>
      <c r="BA205" s="24">
        <v>5.8823529411764705E-2</v>
      </c>
      <c r="BB205" s="24">
        <v>1</v>
      </c>
      <c r="BC205" s="24">
        <v>122</v>
      </c>
      <c r="BD205" s="24">
        <v>61.61</v>
      </c>
    </row>
    <row r="206" spans="52:56" x14ac:dyDescent="0.25">
      <c r="AZ206" s="24">
        <v>203</v>
      </c>
      <c r="BA206" s="24">
        <v>5.8823529411764705E-2</v>
      </c>
      <c r="BB206" s="24">
        <v>0</v>
      </c>
      <c r="BC206" s="24">
        <v>122</v>
      </c>
      <c r="BD206" s="24">
        <v>61.914999999999999</v>
      </c>
    </row>
    <row r="207" spans="52:56" x14ac:dyDescent="0.25">
      <c r="AZ207" s="24">
        <v>204</v>
      </c>
      <c r="BA207" s="24">
        <v>5.8823529411764705E-2</v>
      </c>
      <c r="BB207" s="24">
        <v>0</v>
      </c>
      <c r="BC207" s="24">
        <v>122</v>
      </c>
      <c r="BD207" s="24">
        <v>62.22</v>
      </c>
    </row>
    <row r="208" spans="52:56" x14ac:dyDescent="0.25">
      <c r="AZ208" s="24">
        <v>205</v>
      </c>
      <c r="BA208" s="24">
        <v>5.8823529411764705E-2</v>
      </c>
      <c r="BB208" s="24">
        <v>0</v>
      </c>
      <c r="BC208" s="24">
        <v>122</v>
      </c>
      <c r="BD208" s="24">
        <v>62.524999999999999</v>
      </c>
    </row>
    <row r="209" spans="52:56" x14ac:dyDescent="0.25">
      <c r="AZ209" s="24">
        <v>206</v>
      </c>
      <c r="BA209" s="24">
        <v>5.8823529411764705E-2</v>
      </c>
      <c r="BB209" s="24">
        <v>0</v>
      </c>
      <c r="BC209" s="24">
        <v>122</v>
      </c>
      <c r="BD209" s="24">
        <v>62.83</v>
      </c>
    </row>
    <row r="210" spans="52:56" x14ac:dyDescent="0.25">
      <c r="AZ210" s="24">
        <v>207</v>
      </c>
      <c r="BA210" s="24">
        <v>5.8823529411764705E-2</v>
      </c>
      <c r="BB210" s="24">
        <v>0</v>
      </c>
      <c r="BC210" s="24">
        <v>122</v>
      </c>
      <c r="BD210" s="24">
        <v>63.134999999999998</v>
      </c>
    </row>
    <row r="211" spans="52:56" x14ac:dyDescent="0.25">
      <c r="AZ211" s="24">
        <v>208</v>
      </c>
      <c r="BA211" s="24">
        <v>5.8823529411764705E-2</v>
      </c>
      <c r="BB211" s="24">
        <v>0</v>
      </c>
      <c r="BC211" s="24">
        <v>122</v>
      </c>
      <c r="BD211" s="24">
        <v>63.44</v>
      </c>
    </row>
    <row r="212" spans="52:56" x14ac:dyDescent="0.25">
      <c r="AZ212" s="24">
        <v>209</v>
      </c>
      <c r="BA212" s="24">
        <v>5.8823529411764705E-2</v>
      </c>
      <c r="BB212" s="24">
        <v>0</v>
      </c>
      <c r="BC212" s="24">
        <v>122</v>
      </c>
      <c r="BD212" s="24">
        <v>63.744999999999997</v>
      </c>
    </row>
    <row r="213" spans="52:56" x14ac:dyDescent="0.25">
      <c r="AZ213" s="24">
        <v>210</v>
      </c>
      <c r="BA213" s="24">
        <v>5.8823529411764705E-2</v>
      </c>
      <c r="BB213" s="24">
        <v>0</v>
      </c>
      <c r="BC213" s="24">
        <v>122</v>
      </c>
      <c r="BD213" s="24">
        <v>64.05</v>
      </c>
    </row>
    <row r="214" spans="52:56" x14ac:dyDescent="0.25">
      <c r="AZ214" s="24">
        <v>211</v>
      </c>
      <c r="BA214" s="24">
        <v>5.8823529411764705E-2</v>
      </c>
      <c r="BB214" s="24">
        <v>0</v>
      </c>
      <c r="BC214" s="24">
        <v>122</v>
      </c>
      <c r="BD214" s="24">
        <v>64.355000000000004</v>
      </c>
    </row>
    <row r="215" spans="52:56" x14ac:dyDescent="0.25">
      <c r="AZ215" s="24">
        <v>212</v>
      </c>
      <c r="BA215" s="24">
        <v>5.8823529411764705E-2</v>
      </c>
      <c r="BB215" s="24">
        <v>0</v>
      </c>
      <c r="BC215" s="24">
        <v>122</v>
      </c>
      <c r="BD215" s="24">
        <v>64.66</v>
      </c>
    </row>
    <row r="216" spans="52:56" x14ac:dyDescent="0.25">
      <c r="AZ216" s="24">
        <v>213</v>
      </c>
      <c r="BA216" s="24">
        <v>5.8823529411764705E-2</v>
      </c>
      <c r="BB216" s="24">
        <v>0</v>
      </c>
      <c r="BC216" s="24">
        <v>122</v>
      </c>
      <c r="BD216" s="24">
        <v>64.965000000000003</v>
      </c>
    </row>
    <row r="217" spans="52:56" x14ac:dyDescent="0.25">
      <c r="AZ217" s="24">
        <v>214</v>
      </c>
      <c r="BA217" s="24">
        <v>5.8823529411764705E-2</v>
      </c>
      <c r="BB217" s="24">
        <v>0</v>
      </c>
      <c r="BC217" s="24">
        <v>122</v>
      </c>
      <c r="BD217" s="24">
        <v>65.27</v>
      </c>
    </row>
    <row r="218" spans="52:56" x14ac:dyDescent="0.25">
      <c r="AZ218" s="24">
        <v>215</v>
      </c>
      <c r="BA218" s="24">
        <v>5.8823529411764705E-2</v>
      </c>
      <c r="BB218" s="24">
        <v>0</v>
      </c>
      <c r="BC218" s="24">
        <v>122</v>
      </c>
      <c r="BD218" s="24">
        <v>65.575000000000003</v>
      </c>
    </row>
    <row r="219" spans="52:56" x14ac:dyDescent="0.25">
      <c r="AZ219" s="24">
        <v>216</v>
      </c>
      <c r="BA219" s="24">
        <v>5.8823529411764705E-2</v>
      </c>
      <c r="BB219" s="24">
        <v>0</v>
      </c>
      <c r="BC219" s="24">
        <v>122</v>
      </c>
      <c r="BD219" s="24">
        <v>65.88</v>
      </c>
    </row>
    <row r="220" spans="52:56" x14ac:dyDescent="0.25">
      <c r="AZ220" s="24">
        <v>217</v>
      </c>
      <c r="BA220" s="24">
        <v>5.8823529411764705E-2</v>
      </c>
      <c r="BB220" s="24">
        <v>0</v>
      </c>
      <c r="BC220" s="24">
        <v>122</v>
      </c>
      <c r="BD220" s="24">
        <v>66.185000000000002</v>
      </c>
    </row>
    <row r="221" spans="52:56" x14ac:dyDescent="0.25">
      <c r="AZ221" s="24">
        <v>218</v>
      </c>
      <c r="BA221" s="24">
        <v>5.8823529411764705E-2</v>
      </c>
      <c r="BB221" s="24">
        <v>0</v>
      </c>
      <c r="BC221" s="24">
        <v>122</v>
      </c>
      <c r="BD221" s="24">
        <v>66.489999999999995</v>
      </c>
    </row>
    <row r="222" spans="52:56" x14ac:dyDescent="0.25">
      <c r="AZ222" s="24">
        <v>219</v>
      </c>
      <c r="BA222" s="24">
        <v>5.8823529411764705E-2</v>
      </c>
      <c r="BB222" s="24">
        <v>0</v>
      </c>
      <c r="BC222" s="24">
        <v>122</v>
      </c>
      <c r="BD222" s="24">
        <v>66.795000000000002</v>
      </c>
    </row>
    <row r="223" spans="52:56" x14ac:dyDescent="0.25">
      <c r="AZ223" s="24">
        <v>220</v>
      </c>
      <c r="BA223" s="24">
        <v>5.8823529411764705E-2</v>
      </c>
      <c r="BB223" s="24">
        <v>0</v>
      </c>
      <c r="BC223" s="24">
        <v>122</v>
      </c>
      <c r="BD223" s="24">
        <v>67.099999999999994</v>
      </c>
    </row>
    <row r="224" spans="52:56" x14ac:dyDescent="0.25">
      <c r="AZ224" s="24">
        <v>221</v>
      </c>
      <c r="BA224" s="24">
        <v>5.8823529411764705E-2</v>
      </c>
      <c r="BB224" s="24">
        <v>0</v>
      </c>
      <c r="BC224" s="24">
        <v>122</v>
      </c>
      <c r="BD224" s="24">
        <v>67.405000000000001</v>
      </c>
    </row>
    <row r="225" spans="52:56" x14ac:dyDescent="0.25">
      <c r="AZ225" s="24">
        <v>222</v>
      </c>
      <c r="BA225" s="24">
        <v>5.8823529411764705E-2</v>
      </c>
      <c r="BB225" s="24">
        <v>0</v>
      </c>
      <c r="BC225" s="24">
        <v>122</v>
      </c>
      <c r="BD225" s="24">
        <v>67.709999999999994</v>
      </c>
    </row>
    <row r="226" spans="52:56" x14ac:dyDescent="0.25">
      <c r="AZ226" s="24">
        <v>223</v>
      </c>
      <c r="BA226" s="24">
        <v>5.8823529411764705E-2</v>
      </c>
      <c r="BB226" s="24">
        <v>0</v>
      </c>
      <c r="BC226" s="24">
        <v>122</v>
      </c>
      <c r="BD226" s="24">
        <v>68.015000000000001</v>
      </c>
    </row>
    <row r="227" spans="52:56" x14ac:dyDescent="0.25">
      <c r="AZ227" s="24">
        <v>224</v>
      </c>
      <c r="BA227" s="24">
        <v>5.8823529411764705E-2</v>
      </c>
      <c r="BB227" s="24">
        <v>0</v>
      </c>
      <c r="BC227" s="24">
        <v>122</v>
      </c>
      <c r="BD227" s="24">
        <v>68.319999999999993</v>
      </c>
    </row>
    <row r="228" spans="52:56" x14ac:dyDescent="0.25">
      <c r="AZ228" s="24">
        <v>225</v>
      </c>
      <c r="BA228" s="24">
        <v>5.8823529411764705E-2</v>
      </c>
      <c r="BB228" s="24">
        <v>0</v>
      </c>
      <c r="BC228" s="24">
        <v>122</v>
      </c>
      <c r="BD228" s="24">
        <v>68.625</v>
      </c>
    </row>
    <row r="229" spans="52:56" x14ac:dyDescent="0.25">
      <c r="AZ229" s="24">
        <v>226</v>
      </c>
      <c r="BA229" s="24">
        <v>0</v>
      </c>
      <c r="BB229" s="24">
        <v>0</v>
      </c>
      <c r="BC229" s="24">
        <v>122</v>
      </c>
      <c r="BD229" s="24">
        <v>68.929999999999993</v>
      </c>
    </row>
    <row r="230" spans="52:56" x14ac:dyDescent="0.25">
      <c r="AZ230" s="24">
        <v>227</v>
      </c>
      <c r="BA230" s="24">
        <v>0</v>
      </c>
      <c r="BB230" s="24">
        <v>0</v>
      </c>
      <c r="BC230" s="24">
        <v>122</v>
      </c>
      <c r="BD230" s="24">
        <v>69.234999999999999</v>
      </c>
    </row>
    <row r="231" spans="52:56" x14ac:dyDescent="0.25">
      <c r="AZ231" s="24">
        <v>228</v>
      </c>
      <c r="BA231" s="24">
        <v>0</v>
      </c>
      <c r="BB231" s="24">
        <v>0</v>
      </c>
      <c r="BC231" s="24">
        <v>122</v>
      </c>
      <c r="BD231" s="24">
        <v>69.539999999999992</v>
      </c>
    </row>
    <row r="232" spans="52:56" x14ac:dyDescent="0.25">
      <c r="AZ232" s="24">
        <v>229</v>
      </c>
      <c r="BA232" s="24">
        <v>0</v>
      </c>
      <c r="BB232" s="24">
        <v>0</v>
      </c>
      <c r="BC232" s="24">
        <v>122</v>
      </c>
      <c r="BD232" s="24">
        <v>69.844999999999999</v>
      </c>
    </row>
    <row r="233" spans="52:56" x14ac:dyDescent="0.25">
      <c r="AZ233" s="24">
        <v>230</v>
      </c>
      <c r="BA233" s="24">
        <v>0</v>
      </c>
      <c r="BB233" s="24">
        <v>0</v>
      </c>
      <c r="BC233" s="24">
        <v>122</v>
      </c>
      <c r="BD233" s="24">
        <v>70.149999999999991</v>
      </c>
    </row>
    <row r="234" spans="52:56" x14ac:dyDescent="0.25">
      <c r="AZ234" s="24">
        <v>231</v>
      </c>
      <c r="BA234" s="24">
        <v>0</v>
      </c>
      <c r="BB234" s="24">
        <v>0</v>
      </c>
      <c r="BC234" s="24">
        <v>122</v>
      </c>
      <c r="BD234" s="24">
        <v>70.454999999999998</v>
      </c>
    </row>
    <row r="235" spans="52:56" x14ac:dyDescent="0.25">
      <c r="AZ235" s="24">
        <v>232</v>
      </c>
      <c r="BA235" s="24">
        <v>0</v>
      </c>
      <c r="BB235" s="24">
        <v>0</v>
      </c>
      <c r="BC235" s="24">
        <v>122</v>
      </c>
      <c r="BD235" s="24">
        <v>70.760000000000005</v>
      </c>
    </row>
    <row r="236" spans="52:56" x14ac:dyDescent="0.25">
      <c r="AZ236" s="24">
        <v>233</v>
      </c>
      <c r="BA236" s="24">
        <v>0</v>
      </c>
      <c r="BB236" s="24">
        <v>0</v>
      </c>
      <c r="BC236" s="24">
        <v>122</v>
      </c>
      <c r="BD236" s="24">
        <v>71.064999999999998</v>
      </c>
    </row>
    <row r="237" spans="52:56" x14ac:dyDescent="0.25">
      <c r="AZ237" s="24">
        <v>234</v>
      </c>
      <c r="BA237" s="24">
        <v>0</v>
      </c>
      <c r="BB237" s="24">
        <v>0</v>
      </c>
      <c r="BC237" s="24">
        <v>122</v>
      </c>
      <c r="BD237" s="24">
        <v>71.37</v>
      </c>
    </row>
    <row r="238" spans="52:56" x14ac:dyDescent="0.25">
      <c r="AZ238" s="24">
        <v>235</v>
      </c>
      <c r="BA238" s="24">
        <v>0</v>
      </c>
      <c r="BB238" s="24">
        <v>0</v>
      </c>
      <c r="BC238" s="24">
        <v>122</v>
      </c>
      <c r="BD238" s="24">
        <v>71.674999999999997</v>
      </c>
    </row>
    <row r="239" spans="52:56" x14ac:dyDescent="0.25">
      <c r="AZ239" s="24">
        <v>236</v>
      </c>
      <c r="BA239" s="24">
        <v>0</v>
      </c>
      <c r="BB239" s="24">
        <v>0</v>
      </c>
      <c r="BC239" s="24">
        <v>122</v>
      </c>
      <c r="BD239" s="24">
        <v>71.98</v>
      </c>
    </row>
    <row r="240" spans="52:56" x14ac:dyDescent="0.25">
      <c r="AZ240" s="24">
        <v>237</v>
      </c>
      <c r="BA240" s="24">
        <v>0</v>
      </c>
      <c r="BB240" s="24">
        <v>0</v>
      </c>
      <c r="BC240" s="24">
        <v>122</v>
      </c>
      <c r="BD240" s="24">
        <v>72.284999999999997</v>
      </c>
    </row>
    <row r="241" spans="52:56" x14ac:dyDescent="0.25">
      <c r="AZ241" s="24">
        <v>238</v>
      </c>
      <c r="BA241" s="24">
        <v>0</v>
      </c>
      <c r="BB241" s="24">
        <v>0</v>
      </c>
      <c r="BC241" s="24">
        <v>122</v>
      </c>
      <c r="BD241" s="24">
        <v>72.59</v>
      </c>
    </row>
    <row r="242" spans="52:56" x14ac:dyDescent="0.25">
      <c r="AZ242" s="24">
        <v>239</v>
      </c>
      <c r="BA242" s="24">
        <v>0</v>
      </c>
      <c r="BB242" s="24">
        <v>0</v>
      </c>
      <c r="BC242" s="24">
        <v>122</v>
      </c>
      <c r="BD242" s="24">
        <v>72.894999999999996</v>
      </c>
    </row>
    <row r="243" spans="52:56" x14ac:dyDescent="0.25">
      <c r="AZ243" s="24">
        <v>240</v>
      </c>
      <c r="BA243" s="24">
        <v>0</v>
      </c>
      <c r="BB243" s="24">
        <v>0</v>
      </c>
      <c r="BC243" s="24">
        <v>122</v>
      </c>
      <c r="BD243" s="24">
        <v>73.2</v>
      </c>
    </row>
    <row r="244" spans="52:56" x14ac:dyDescent="0.25">
      <c r="AZ244" s="23">
        <v>241</v>
      </c>
      <c r="BA244" s="23">
        <v>0</v>
      </c>
      <c r="BB244" s="23">
        <v>0</v>
      </c>
      <c r="BC244" s="23">
        <v>122</v>
      </c>
      <c r="BD244" s="23">
        <v>73.504999999999995</v>
      </c>
    </row>
    <row r="245" spans="52:56" x14ac:dyDescent="0.25">
      <c r="AZ245" s="23">
        <v>242</v>
      </c>
      <c r="BA245" s="23">
        <v>0</v>
      </c>
      <c r="BB245" s="23">
        <v>0</v>
      </c>
      <c r="BC245" s="23">
        <v>122</v>
      </c>
      <c r="BD245" s="23">
        <v>73.81</v>
      </c>
    </row>
    <row r="246" spans="52:56" x14ac:dyDescent="0.25">
      <c r="AZ246" s="23">
        <v>243</v>
      </c>
      <c r="BA246" s="23">
        <v>0</v>
      </c>
      <c r="BB246" s="23">
        <v>0</v>
      </c>
      <c r="BC246" s="23">
        <v>122</v>
      </c>
      <c r="BD246" s="23">
        <v>74.114999999999995</v>
      </c>
    </row>
    <row r="247" spans="52:56" x14ac:dyDescent="0.25">
      <c r="AZ247" s="23">
        <v>244</v>
      </c>
      <c r="BA247" s="23">
        <v>0</v>
      </c>
      <c r="BB247" s="23">
        <v>0</v>
      </c>
      <c r="BC247" s="23">
        <v>122</v>
      </c>
      <c r="BD247" s="23">
        <v>74.42</v>
      </c>
    </row>
    <row r="248" spans="52:56" x14ac:dyDescent="0.25">
      <c r="AZ248" s="23">
        <v>245</v>
      </c>
      <c r="BA248" s="23">
        <v>0</v>
      </c>
      <c r="BB248" s="23">
        <v>0</v>
      </c>
      <c r="BC248" s="23">
        <v>122</v>
      </c>
      <c r="BD248" s="23">
        <v>74.724999999999994</v>
      </c>
    </row>
    <row r="249" spans="52:56" x14ac:dyDescent="0.25">
      <c r="AZ249" s="23">
        <v>246</v>
      </c>
      <c r="BA249" s="23">
        <v>0</v>
      </c>
      <c r="BB249" s="23">
        <v>0</v>
      </c>
      <c r="BC249" s="23">
        <v>122</v>
      </c>
      <c r="BD249" s="23">
        <v>75.03</v>
      </c>
    </row>
    <row r="250" spans="52:56" x14ac:dyDescent="0.25">
      <c r="AZ250" s="23">
        <v>247</v>
      </c>
      <c r="BA250" s="23">
        <v>0</v>
      </c>
      <c r="BB250" s="23">
        <v>0</v>
      </c>
      <c r="BC250" s="23">
        <v>122</v>
      </c>
      <c r="BD250" s="23">
        <v>75.334999999999994</v>
      </c>
    </row>
    <row r="251" spans="52:56" x14ac:dyDescent="0.25">
      <c r="AZ251" s="23">
        <v>248</v>
      </c>
      <c r="BA251" s="23">
        <v>0</v>
      </c>
      <c r="BB251" s="23">
        <v>0</v>
      </c>
      <c r="BC251" s="23">
        <v>122</v>
      </c>
      <c r="BD251" s="23">
        <v>75.64</v>
      </c>
    </row>
    <row r="252" spans="52:56" x14ac:dyDescent="0.25">
      <c r="AZ252" s="23">
        <v>249</v>
      </c>
      <c r="BA252" s="23">
        <v>0</v>
      </c>
      <c r="BB252" s="23">
        <v>0</v>
      </c>
      <c r="BC252" s="23">
        <v>122</v>
      </c>
      <c r="BD252" s="23">
        <v>75.944999999999993</v>
      </c>
    </row>
    <row r="253" spans="52:56" x14ac:dyDescent="0.25">
      <c r="AZ253" s="23">
        <v>250</v>
      </c>
      <c r="BA253" s="23">
        <v>0</v>
      </c>
      <c r="BB253" s="23">
        <v>0</v>
      </c>
      <c r="BC253" s="23">
        <v>122</v>
      </c>
      <c r="BD253" s="23">
        <v>76.25</v>
      </c>
    </row>
    <row r="254" spans="52:56" x14ac:dyDescent="0.25">
      <c r="AZ254" s="23">
        <v>251</v>
      </c>
      <c r="BA254" s="23">
        <v>0</v>
      </c>
      <c r="BB254" s="23">
        <v>0</v>
      </c>
      <c r="BC254" s="23">
        <v>122</v>
      </c>
      <c r="BD254" s="23">
        <v>76.554999999999993</v>
      </c>
    </row>
    <row r="255" spans="52:56" x14ac:dyDescent="0.25">
      <c r="AZ255" s="23">
        <v>252</v>
      </c>
      <c r="BA255" s="23">
        <v>0</v>
      </c>
      <c r="BB255" s="23">
        <v>0</v>
      </c>
      <c r="BC255" s="23">
        <v>122</v>
      </c>
      <c r="BD255" s="23">
        <v>76.86</v>
      </c>
    </row>
    <row r="256" spans="52:56" x14ac:dyDescent="0.25">
      <c r="AZ256" s="23">
        <v>253</v>
      </c>
      <c r="BA256" s="23">
        <v>0</v>
      </c>
      <c r="BB256" s="23">
        <v>0</v>
      </c>
      <c r="BC256" s="23">
        <v>122</v>
      </c>
      <c r="BD256" s="23">
        <v>77.164999999999992</v>
      </c>
    </row>
    <row r="257" spans="52:56" x14ac:dyDescent="0.25">
      <c r="AZ257" s="23">
        <v>254</v>
      </c>
      <c r="BA257" s="23">
        <v>0</v>
      </c>
      <c r="BB257" s="23">
        <v>0</v>
      </c>
      <c r="BC257" s="23">
        <v>122</v>
      </c>
      <c r="BD257" s="23">
        <v>77.47</v>
      </c>
    </row>
    <row r="258" spans="52:56" x14ac:dyDescent="0.25">
      <c r="AZ258" s="23">
        <v>255</v>
      </c>
      <c r="BA258" s="23">
        <v>0</v>
      </c>
      <c r="BB258" s="23">
        <v>0</v>
      </c>
      <c r="BC258" s="23">
        <v>122</v>
      </c>
      <c r="BD258" s="23">
        <v>77.774999999999991</v>
      </c>
    </row>
    <row r="259" spans="52:56" x14ac:dyDescent="0.25">
      <c r="AZ259" s="23">
        <v>256</v>
      </c>
      <c r="BA259" s="23">
        <v>0</v>
      </c>
      <c r="BB259" s="23">
        <v>0</v>
      </c>
      <c r="BC259" s="23">
        <v>122</v>
      </c>
      <c r="BD259" s="23">
        <v>78.08</v>
      </c>
    </row>
    <row r="260" spans="52:56" x14ac:dyDescent="0.25">
      <c r="AZ260" s="23">
        <v>257</v>
      </c>
      <c r="BA260" s="23">
        <v>0</v>
      </c>
      <c r="BB260" s="23">
        <v>0</v>
      </c>
      <c r="BC260" s="23">
        <v>122</v>
      </c>
      <c r="BD260" s="23">
        <v>78.385000000000005</v>
      </c>
    </row>
    <row r="261" spans="52:56" x14ac:dyDescent="0.25">
      <c r="AZ261" s="23">
        <v>258</v>
      </c>
      <c r="BA261" s="23">
        <v>0</v>
      </c>
      <c r="BB261" s="23">
        <v>0</v>
      </c>
      <c r="BC261" s="23">
        <v>122</v>
      </c>
      <c r="BD261" s="23">
        <v>78.69</v>
      </c>
    </row>
    <row r="262" spans="52:56" x14ac:dyDescent="0.25">
      <c r="AZ262" s="23">
        <v>259</v>
      </c>
      <c r="BA262" s="23">
        <v>0</v>
      </c>
      <c r="BB262" s="23">
        <v>0</v>
      </c>
      <c r="BC262" s="23">
        <v>122</v>
      </c>
      <c r="BD262" s="23">
        <v>78.995000000000005</v>
      </c>
    </row>
    <row r="263" spans="52:56" x14ac:dyDescent="0.25">
      <c r="AZ263" s="23">
        <v>260</v>
      </c>
      <c r="BA263" s="23">
        <v>0</v>
      </c>
      <c r="BB263" s="23">
        <v>0</v>
      </c>
      <c r="BC263" s="23">
        <v>122</v>
      </c>
      <c r="BD263" s="23">
        <v>79.3</v>
      </c>
    </row>
    <row r="264" spans="52:56" x14ac:dyDescent="0.25">
      <c r="AZ264" s="23">
        <v>261</v>
      </c>
      <c r="BA264" s="23">
        <v>0</v>
      </c>
      <c r="BB264" s="23">
        <v>0</v>
      </c>
      <c r="BC264" s="23">
        <v>122</v>
      </c>
      <c r="BD264" s="23">
        <v>79.605000000000004</v>
      </c>
    </row>
    <row r="265" spans="52:56" x14ac:dyDescent="0.25">
      <c r="AZ265" s="23">
        <v>262</v>
      </c>
      <c r="BA265" s="23">
        <v>0</v>
      </c>
      <c r="BB265" s="23">
        <v>0</v>
      </c>
      <c r="BC265" s="23">
        <v>122</v>
      </c>
      <c r="BD265" s="23">
        <v>79.91</v>
      </c>
    </row>
    <row r="266" spans="52:56" x14ac:dyDescent="0.25">
      <c r="AZ266" s="23">
        <v>263</v>
      </c>
      <c r="BA266" s="23">
        <v>0</v>
      </c>
      <c r="BB266" s="23">
        <v>0</v>
      </c>
      <c r="BC266" s="23">
        <v>122</v>
      </c>
      <c r="BD266" s="23">
        <v>80.215000000000003</v>
      </c>
    </row>
    <row r="267" spans="52:56" x14ac:dyDescent="0.25">
      <c r="AZ267" s="23">
        <v>264</v>
      </c>
      <c r="BA267" s="23">
        <v>0</v>
      </c>
      <c r="BB267" s="23">
        <v>0</v>
      </c>
      <c r="BC267" s="23">
        <v>122</v>
      </c>
      <c r="BD267" s="23">
        <v>80.52</v>
      </c>
    </row>
    <row r="268" spans="52:56" x14ac:dyDescent="0.25">
      <c r="AZ268" s="23">
        <v>265</v>
      </c>
      <c r="BA268" s="23">
        <v>0</v>
      </c>
      <c r="BB268" s="23">
        <v>0</v>
      </c>
      <c r="BC268" s="23">
        <v>122</v>
      </c>
      <c r="BD268" s="23">
        <v>80.825000000000003</v>
      </c>
    </row>
    <row r="269" spans="52:56" x14ac:dyDescent="0.25">
      <c r="AZ269" s="23">
        <v>266</v>
      </c>
      <c r="BA269" s="23">
        <v>0</v>
      </c>
      <c r="BB269" s="23">
        <v>0</v>
      </c>
      <c r="BC269" s="23">
        <v>122</v>
      </c>
      <c r="BD269" s="23">
        <v>81.13</v>
      </c>
    </row>
    <row r="270" spans="52:56" x14ac:dyDescent="0.25">
      <c r="AZ270" s="23">
        <v>267</v>
      </c>
      <c r="BA270" s="23">
        <v>0</v>
      </c>
      <c r="BB270" s="23">
        <v>0</v>
      </c>
      <c r="BC270" s="23">
        <v>122</v>
      </c>
      <c r="BD270" s="23">
        <v>81.435000000000002</v>
      </c>
    </row>
    <row r="271" spans="52:56" x14ac:dyDescent="0.25">
      <c r="AZ271" s="23">
        <v>268</v>
      </c>
      <c r="BA271" s="23">
        <v>0</v>
      </c>
      <c r="BB271" s="23">
        <v>0</v>
      </c>
      <c r="BC271" s="23">
        <v>122</v>
      </c>
      <c r="BD271" s="23">
        <v>81.739999999999995</v>
      </c>
    </row>
    <row r="272" spans="52:56" x14ac:dyDescent="0.25">
      <c r="AZ272" s="23">
        <v>269</v>
      </c>
      <c r="BA272" s="23">
        <v>0</v>
      </c>
      <c r="BB272" s="23">
        <v>0</v>
      </c>
      <c r="BC272" s="23">
        <v>122</v>
      </c>
      <c r="BD272" s="23">
        <v>82.045000000000002</v>
      </c>
    </row>
    <row r="273" spans="52:56" x14ac:dyDescent="0.25">
      <c r="AZ273" s="23">
        <v>270</v>
      </c>
      <c r="BA273" s="23">
        <v>0</v>
      </c>
      <c r="BB273" s="23">
        <v>0</v>
      </c>
      <c r="BC273" s="23">
        <v>122</v>
      </c>
      <c r="BD273" s="23">
        <v>82.35</v>
      </c>
    </row>
    <row r="274" spans="52:56" x14ac:dyDescent="0.25">
      <c r="AZ274" s="23">
        <v>271</v>
      </c>
      <c r="BA274" s="23">
        <v>0</v>
      </c>
      <c r="BB274" s="23">
        <v>0</v>
      </c>
      <c r="BC274" s="23">
        <v>122</v>
      </c>
      <c r="BD274" s="23">
        <v>82.655000000000001</v>
      </c>
    </row>
    <row r="275" spans="52:56" x14ac:dyDescent="0.25">
      <c r="AZ275" s="23">
        <v>272</v>
      </c>
      <c r="BA275" s="23">
        <v>0</v>
      </c>
      <c r="BB275" s="23">
        <v>0</v>
      </c>
      <c r="BC275" s="23">
        <v>122</v>
      </c>
      <c r="BD275" s="23">
        <v>82.96</v>
      </c>
    </row>
    <row r="276" spans="52:56" x14ac:dyDescent="0.25">
      <c r="AZ276" s="23">
        <v>273</v>
      </c>
      <c r="BA276" s="23">
        <v>0</v>
      </c>
      <c r="BB276" s="23">
        <v>0</v>
      </c>
      <c r="BC276" s="23">
        <v>122</v>
      </c>
      <c r="BD276" s="23">
        <v>83.265000000000001</v>
      </c>
    </row>
    <row r="277" spans="52:56" x14ac:dyDescent="0.25">
      <c r="AZ277" s="23">
        <v>274</v>
      </c>
      <c r="BA277" s="23">
        <v>0</v>
      </c>
      <c r="BB277" s="23">
        <v>0</v>
      </c>
      <c r="BC277" s="23">
        <v>122</v>
      </c>
      <c r="BD277" s="23">
        <v>83.57</v>
      </c>
    </row>
    <row r="278" spans="52:56" x14ac:dyDescent="0.25">
      <c r="AZ278" s="23">
        <v>275</v>
      </c>
      <c r="BA278" s="23">
        <v>0</v>
      </c>
      <c r="BB278" s="23">
        <v>0</v>
      </c>
      <c r="BC278" s="23">
        <v>122</v>
      </c>
      <c r="BD278" s="23">
        <v>83.875</v>
      </c>
    </row>
    <row r="279" spans="52:56" x14ac:dyDescent="0.25">
      <c r="AZ279" s="23">
        <v>276</v>
      </c>
      <c r="BA279" s="23">
        <v>0</v>
      </c>
      <c r="BB279" s="23">
        <v>0</v>
      </c>
      <c r="BC279" s="23">
        <v>122</v>
      </c>
      <c r="BD279" s="23">
        <v>84.179999999999993</v>
      </c>
    </row>
    <row r="280" spans="52:56" x14ac:dyDescent="0.25">
      <c r="AZ280" s="23">
        <v>277</v>
      </c>
      <c r="BA280" s="23">
        <v>0</v>
      </c>
      <c r="BB280" s="23">
        <v>0</v>
      </c>
      <c r="BC280" s="23">
        <v>122</v>
      </c>
      <c r="BD280" s="23">
        <v>84.484999999999999</v>
      </c>
    </row>
    <row r="281" spans="52:56" x14ac:dyDescent="0.25">
      <c r="AZ281" s="23">
        <v>278</v>
      </c>
      <c r="BA281" s="23">
        <v>0</v>
      </c>
      <c r="BB281" s="23">
        <v>0</v>
      </c>
      <c r="BC281" s="23">
        <v>122</v>
      </c>
      <c r="BD281" s="23">
        <v>84.789999999999992</v>
      </c>
    </row>
    <row r="282" spans="52:56" x14ac:dyDescent="0.25">
      <c r="AZ282" s="23">
        <v>279</v>
      </c>
      <c r="BA282" s="23">
        <v>0</v>
      </c>
      <c r="BB282" s="23">
        <v>0</v>
      </c>
      <c r="BC282" s="23">
        <v>122</v>
      </c>
      <c r="BD282" s="23">
        <v>85.094999999999999</v>
      </c>
    </row>
    <row r="283" spans="52:56" x14ac:dyDescent="0.25">
      <c r="AZ283" s="23">
        <v>280</v>
      </c>
      <c r="BA283" s="23">
        <v>0</v>
      </c>
      <c r="BB283" s="23">
        <v>0</v>
      </c>
      <c r="BC283" s="23">
        <v>122</v>
      </c>
      <c r="BD283" s="23">
        <v>85.399999999999991</v>
      </c>
    </row>
    <row r="284" spans="52:56" x14ac:dyDescent="0.25">
      <c r="AZ284" s="24">
        <v>281</v>
      </c>
      <c r="BA284" s="24">
        <v>0</v>
      </c>
      <c r="BB284" s="24">
        <v>0</v>
      </c>
      <c r="BC284" s="24">
        <v>122</v>
      </c>
      <c r="BD284" s="24">
        <v>85.704999999999998</v>
      </c>
    </row>
    <row r="285" spans="52:56" x14ac:dyDescent="0.25">
      <c r="AZ285" s="24">
        <v>282</v>
      </c>
      <c r="BA285" s="24">
        <v>0</v>
      </c>
      <c r="BB285" s="24">
        <v>0</v>
      </c>
      <c r="BC285" s="24">
        <v>122</v>
      </c>
      <c r="BD285" s="24">
        <v>86.01</v>
      </c>
    </row>
    <row r="286" spans="52:56" x14ac:dyDescent="0.25">
      <c r="AZ286" s="24">
        <v>283</v>
      </c>
      <c r="BA286" s="24">
        <v>0</v>
      </c>
      <c r="BB286" s="24">
        <v>0</v>
      </c>
      <c r="BC286" s="24">
        <v>122</v>
      </c>
      <c r="BD286" s="24">
        <v>86.314999999999998</v>
      </c>
    </row>
    <row r="287" spans="52:56" x14ac:dyDescent="0.25">
      <c r="AZ287" s="24">
        <v>284</v>
      </c>
      <c r="BA287" s="24">
        <v>0</v>
      </c>
      <c r="BB287" s="24">
        <v>0</v>
      </c>
      <c r="BC287" s="24">
        <v>122</v>
      </c>
      <c r="BD287" s="24">
        <v>86.62</v>
      </c>
    </row>
    <row r="288" spans="52:56" x14ac:dyDescent="0.25">
      <c r="AZ288" s="24">
        <v>285</v>
      </c>
      <c r="BA288" s="24">
        <v>0</v>
      </c>
      <c r="BB288" s="24">
        <v>0</v>
      </c>
      <c r="BC288" s="24">
        <v>122</v>
      </c>
      <c r="BD288" s="24">
        <v>86.924999999999997</v>
      </c>
    </row>
    <row r="289" spans="52:56" x14ac:dyDescent="0.25">
      <c r="AZ289" s="24">
        <v>286</v>
      </c>
      <c r="BA289" s="24">
        <v>0</v>
      </c>
      <c r="BB289" s="24">
        <v>0</v>
      </c>
      <c r="BC289" s="24">
        <v>122</v>
      </c>
      <c r="BD289" s="24">
        <v>87.23</v>
      </c>
    </row>
    <row r="290" spans="52:56" x14ac:dyDescent="0.25">
      <c r="AZ290" s="24">
        <v>287</v>
      </c>
      <c r="BA290" s="24">
        <v>0</v>
      </c>
      <c r="BB290" s="24">
        <v>0</v>
      </c>
      <c r="BC290" s="24">
        <v>122</v>
      </c>
      <c r="BD290" s="24">
        <v>87.534999999999997</v>
      </c>
    </row>
    <row r="291" spans="52:56" x14ac:dyDescent="0.25">
      <c r="AZ291" s="24">
        <v>288</v>
      </c>
      <c r="BA291" s="24">
        <v>0</v>
      </c>
      <c r="BB291" s="24">
        <v>0</v>
      </c>
      <c r="BC291" s="24">
        <v>122</v>
      </c>
      <c r="BD291" s="24">
        <v>87.84</v>
      </c>
    </row>
    <row r="292" spans="52:56" x14ac:dyDescent="0.25">
      <c r="AZ292" s="24">
        <v>289</v>
      </c>
      <c r="BA292" s="24">
        <v>0</v>
      </c>
      <c r="BB292" s="24">
        <v>0</v>
      </c>
      <c r="BC292" s="24">
        <v>122</v>
      </c>
      <c r="BD292" s="24">
        <v>88.144999999999996</v>
      </c>
    </row>
    <row r="293" spans="52:56" x14ac:dyDescent="0.25">
      <c r="AZ293" s="24">
        <v>290</v>
      </c>
      <c r="BA293" s="24">
        <v>0</v>
      </c>
      <c r="BB293" s="24">
        <v>0</v>
      </c>
      <c r="BC293" s="24">
        <v>122</v>
      </c>
      <c r="BD293" s="24">
        <v>88.45</v>
      </c>
    </row>
    <row r="294" spans="52:56" x14ac:dyDescent="0.25">
      <c r="AZ294" s="24">
        <v>291</v>
      </c>
      <c r="BA294" s="24">
        <v>0</v>
      </c>
      <c r="BB294" s="24">
        <v>0</v>
      </c>
      <c r="BC294" s="24">
        <v>122</v>
      </c>
      <c r="BD294" s="24">
        <v>88.754999999999995</v>
      </c>
    </row>
    <row r="295" spans="52:56" x14ac:dyDescent="0.25">
      <c r="AZ295" s="24">
        <v>292</v>
      </c>
      <c r="BA295" s="24">
        <v>0</v>
      </c>
      <c r="BB295" s="24">
        <v>0</v>
      </c>
      <c r="BC295" s="24">
        <v>122</v>
      </c>
      <c r="BD295" s="24">
        <v>89.06</v>
      </c>
    </row>
    <row r="296" spans="52:56" x14ac:dyDescent="0.25">
      <c r="AZ296" s="24">
        <v>293</v>
      </c>
      <c r="BA296" s="24">
        <v>0</v>
      </c>
      <c r="BB296" s="24">
        <v>0</v>
      </c>
      <c r="BC296" s="24">
        <v>122</v>
      </c>
      <c r="BD296" s="24">
        <v>89.364999999999995</v>
      </c>
    </row>
    <row r="297" spans="52:56" x14ac:dyDescent="0.25">
      <c r="AZ297" s="24">
        <v>294</v>
      </c>
      <c r="BA297" s="24">
        <v>0</v>
      </c>
      <c r="BB297" s="24">
        <v>0</v>
      </c>
      <c r="BC297" s="24">
        <v>122</v>
      </c>
      <c r="BD297" s="24">
        <v>89.67</v>
      </c>
    </row>
    <row r="298" spans="52:56" x14ac:dyDescent="0.25">
      <c r="AZ298" s="24">
        <v>295</v>
      </c>
      <c r="BA298" s="24">
        <v>0</v>
      </c>
      <c r="BB298" s="24">
        <v>0</v>
      </c>
      <c r="BC298" s="24">
        <v>122</v>
      </c>
      <c r="BD298" s="24">
        <v>89.974999999999994</v>
      </c>
    </row>
    <row r="299" spans="52:56" x14ac:dyDescent="0.25">
      <c r="AZ299" s="24">
        <v>296</v>
      </c>
      <c r="BA299" s="24">
        <v>0</v>
      </c>
      <c r="BB299" s="24">
        <v>0</v>
      </c>
      <c r="BC299" s="24">
        <v>122</v>
      </c>
      <c r="BD299" s="24">
        <v>90.28</v>
      </c>
    </row>
    <row r="300" spans="52:56" x14ac:dyDescent="0.25">
      <c r="AZ300" s="24">
        <v>297</v>
      </c>
      <c r="BA300" s="24">
        <v>0</v>
      </c>
      <c r="BB300" s="24">
        <v>0</v>
      </c>
      <c r="BC300" s="24">
        <v>122</v>
      </c>
      <c r="BD300" s="24">
        <v>90.584999999999994</v>
      </c>
    </row>
    <row r="301" spans="52:56" x14ac:dyDescent="0.25">
      <c r="AZ301" s="24">
        <v>298</v>
      </c>
      <c r="BA301" s="24">
        <v>0</v>
      </c>
      <c r="BB301" s="24">
        <v>0</v>
      </c>
      <c r="BC301" s="24">
        <v>122</v>
      </c>
      <c r="BD301" s="24">
        <v>90.89</v>
      </c>
    </row>
    <row r="302" spans="52:56" x14ac:dyDescent="0.25">
      <c r="AZ302" s="24">
        <v>299</v>
      </c>
      <c r="BA302" s="24">
        <v>0</v>
      </c>
      <c r="BB302" s="24">
        <v>0</v>
      </c>
      <c r="BC302" s="24">
        <v>122</v>
      </c>
      <c r="BD302" s="24">
        <v>91.194999999999993</v>
      </c>
    </row>
    <row r="303" spans="52:56" x14ac:dyDescent="0.25">
      <c r="AZ303" s="24">
        <v>300</v>
      </c>
      <c r="BA303" s="24">
        <v>0</v>
      </c>
      <c r="BB303" s="24">
        <v>0</v>
      </c>
      <c r="BC303" s="24">
        <v>122</v>
      </c>
      <c r="BD303" s="24">
        <v>91.5</v>
      </c>
    </row>
    <row r="304" spans="52:56" x14ac:dyDescent="0.25">
      <c r="AZ304" s="24">
        <v>301</v>
      </c>
      <c r="BA304" s="24">
        <v>0</v>
      </c>
      <c r="BB304" s="24">
        <v>0</v>
      </c>
      <c r="BC304" s="24">
        <v>122</v>
      </c>
      <c r="BD304" s="24">
        <v>91.804999999999993</v>
      </c>
    </row>
    <row r="305" spans="52:56" x14ac:dyDescent="0.25">
      <c r="AZ305" s="24">
        <v>302</v>
      </c>
      <c r="BA305" s="24">
        <v>0</v>
      </c>
      <c r="BB305" s="24">
        <v>0</v>
      </c>
      <c r="BC305" s="24">
        <v>122</v>
      </c>
      <c r="BD305" s="24">
        <v>92.11</v>
      </c>
    </row>
    <row r="306" spans="52:56" x14ac:dyDescent="0.25">
      <c r="AZ306" s="24">
        <v>303</v>
      </c>
      <c r="BA306" s="24">
        <v>0</v>
      </c>
      <c r="BB306" s="24">
        <v>0</v>
      </c>
      <c r="BC306" s="24">
        <v>122</v>
      </c>
      <c r="BD306" s="24">
        <v>92.414999999999992</v>
      </c>
    </row>
    <row r="307" spans="52:56" x14ac:dyDescent="0.25">
      <c r="AZ307" s="24">
        <v>304</v>
      </c>
      <c r="BA307" s="24">
        <v>0</v>
      </c>
      <c r="BB307" s="24">
        <v>0</v>
      </c>
      <c r="BC307" s="24">
        <v>122</v>
      </c>
      <c r="BD307" s="24">
        <v>92.72</v>
      </c>
    </row>
    <row r="308" spans="52:56" x14ac:dyDescent="0.25">
      <c r="AZ308" s="24">
        <v>305</v>
      </c>
      <c r="BA308" s="24">
        <v>0</v>
      </c>
      <c r="BB308" s="24">
        <v>0</v>
      </c>
      <c r="BC308" s="24">
        <v>122</v>
      </c>
      <c r="BD308" s="24">
        <v>93.024999999999991</v>
      </c>
    </row>
    <row r="309" spans="52:56" x14ac:dyDescent="0.25">
      <c r="AZ309" s="24">
        <v>306</v>
      </c>
      <c r="BA309" s="24">
        <v>0</v>
      </c>
      <c r="BB309" s="24">
        <v>0</v>
      </c>
      <c r="BC309" s="24">
        <v>122</v>
      </c>
      <c r="BD309" s="24">
        <v>93.33</v>
      </c>
    </row>
    <row r="310" spans="52:56" x14ac:dyDescent="0.25">
      <c r="AZ310" s="24">
        <v>307</v>
      </c>
      <c r="BA310" s="24">
        <v>0</v>
      </c>
      <c r="BB310" s="24">
        <v>0</v>
      </c>
      <c r="BC310" s="24">
        <v>122</v>
      </c>
      <c r="BD310" s="24">
        <v>93.634999999999991</v>
      </c>
    </row>
    <row r="311" spans="52:56" x14ac:dyDescent="0.25">
      <c r="AZ311" s="24">
        <v>308</v>
      </c>
      <c r="BA311" s="24">
        <v>0</v>
      </c>
      <c r="BB311" s="24">
        <v>0</v>
      </c>
      <c r="BC311" s="24">
        <v>122</v>
      </c>
      <c r="BD311" s="24">
        <v>93.94</v>
      </c>
    </row>
    <row r="312" spans="52:56" x14ac:dyDescent="0.25">
      <c r="AZ312" s="24">
        <v>309</v>
      </c>
      <c r="BA312" s="24">
        <v>0</v>
      </c>
      <c r="BB312" s="24">
        <v>0</v>
      </c>
      <c r="BC312" s="24">
        <v>122</v>
      </c>
      <c r="BD312" s="24">
        <v>94.245000000000005</v>
      </c>
    </row>
    <row r="313" spans="52:56" x14ac:dyDescent="0.25">
      <c r="AZ313" s="24">
        <v>310</v>
      </c>
      <c r="BA313" s="24">
        <v>0</v>
      </c>
      <c r="BB313" s="24">
        <v>0</v>
      </c>
      <c r="BC313" s="24">
        <v>122</v>
      </c>
      <c r="BD313" s="24">
        <v>94.55</v>
      </c>
    </row>
    <row r="314" spans="52:56" x14ac:dyDescent="0.25">
      <c r="AZ314" s="24">
        <v>311</v>
      </c>
      <c r="BA314" s="24">
        <v>0</v>
      </c>
      <c r="BB314" s="24">
        <v>0</v>
      </c>
      <c r="BC314" s="24">
        <v>122</v>
      </c>
      <c r="BD314" s="24">
        <v>94.855000000000004</v>
      </c>
    </row>
    <row r="315" spans="52:56" x14ac:dyDescent="0.25">
      <c r="AZ315" s="24">
        <v>312</v>
      </c>
      <c r="BA315" s="24">
        <v>0</v>
      </c>
      <c r="BB315" s="24">
        <v>0</v>
      </c>
      <c r="BC315" s="24">
        <v>122</v>
      </c>
      <c r="BD315" s="24">
        <v>95.16</v>
      </c>
    </row>
    <row r="316" spans="52:56" x14ac:dyDescent="0.25">
      <c r="AZ316" s="24">
        <v>313</v>
      </c>
      <c r="BA316" s="24">
        <v>0</v>
      </c>
      <c r="BB316" s="24">
        <v>0</v>
      </c>
      <c r="BC316" s="24">
        <v>122</v>
      </c>
      <c r="BD316" s="24">
        <v>95.465000000000003</v>
      </c>
    </row>
    <row r="317" spans="52:56" x14ac:dyDescent="0.25">
      <c r="AZ317" s="24">
        <v>314</v>
      </c>
      <c r="BA317" s="24">
        <v>0</v>
      </c>
      <c r="BB317" s="24">
        <v>0</v>
      </c>
      <c r="BC317" s="24">
        <v>122</v>
      </c>
      <c r="BD317" s="24">
        <v>95.77</v>
      </c>
    </row>
    <row r="318" spans="52:56" x14ac:dyDescent="0.25">
      <c r="AZ318" s="24">
        <v>315</v>
      </c>
      <c r="BA318" s="24">
        <v>0</v>
      </c>
      <c r="BB318" s="24">
        <v>0</v>
      </c>
      <c r="BC318" s="24">
        <v>122</v>
      </c>
      <c r="BD318" s="24">
        <v>96.075000000000003</v>
      </c>
    </row>
    <row r="319" spans="52:56" x14ac:dyDescent="0.25">
      <c r="AZ319" s="24">
        <v>316</v>
      </c>
      <c r="BA319" s="24">
        <v>0</v>
      </c>
      <c r="BB319" s="24">
        <v>0</v>
      </c>
      <c r="BC319" s="24">
        <v>122</v>
      </c>
      <c r="BD319" s="24">
        <v>96.38</v>
      </c>
    </row>
    <row r="320" spans="52:56" x14ac:dyDescent="0.25">
      <c r="AZ320" s="24">
        <v>317</v>
      </c>
      <c r="BA320" s="24">
        <v>0</v>
      </c>
      <c r="BB320" s="24">
        <v>0</v>
      </c>
      <c r="BC320" s="24">
        <v>122</v>
      </c>
      <c r="BD320" s="24">
        <v>96.685000000000002</v>
      </c>
    </row>
    <row r="321" spans="52:56" x14ac:dyDescent="0.25">
      <c r="AZ321" s="24">
        <v>318</v>
      </c>
      <c r="BA321" s="24">
        <v>0</v>
      </c>
      <c r="BB321" s="24">
        <v>0</v>
      </c>
      <c r="BC321" s="24">
        <v>122</v>
      </c>
      <c r="BD321" s="24">
        <v>96.99</v>
      </c>
    </row>
    <row r="322" spans="52:56" x14ac:dyDescent="0.25">
      <c r="AZ322" s="24">
        <v>319</v>
      </c>
      <c r="BA322" s="24">
        <v>0</v>
      </c>
      <c r="BB322" s="24">
        <v>0</v>
      </c>
      <c r="BC322" s="24">
        <v>122</v>
      </c>
      <c r="BD322" s="24">
        <v>97.295000000000002</v>
      </c>
    </row>
    <row r="323" spans="52:56" x14ac:dyDescent="0.25">
      <c r="AZ323" s="24">
        <v>320</v>
      </c>
      <c r="BA323" s="24">
        <v>0</v>
      </c>
      <c r="BB323" s="24">
        <v>0</v>
      </c>
      <c r="BC323" s="24">
        <v>122</v>
      </c>
      <c r="BD323" s="24">
        <v>97.6</v>
      </c>
    </row>
    <row r="324" spans="52:56" x14ac:dyDescent="0.25">
      <c r="AZ324" s="23">
        <v>321</v>
      </c>
      <c r="BA324" s="23">
        <v>0</v>
      </c>
      <c r="BB324" s="23">
        <v>0</v>
      </c>
      <c r="BC324" s="23">
        <v>122</v>
      </c>
      <c r="BD324" s="23">
        <v>97.905000000000001</v>
      </c>
    </row>
    <row r="325" spans="52:56" x14ac:dyDescent="0.25">
      <c r="AZ325" s="23">
        <v>322</v>
      </c>
      <c r="BA325" s="23">
        <v>0</v>
      </c>
      <c r="BB325" s="23">
        <v>0</v>
      </c>
      <c r="BC325" s="23">
        <v>122</v>
      </c>
      <c r="BD325" s="23">
        <v>98.21</v>
      </c>
    </row>
    <row r="326" spans="52:56" x14ac:dyDescent="0.25">
      <c r="AZ326" s="23">
        <v>323</v>
      </c>
      <c r="BA326" s="23">
        <v>0</v>
      </c>
      <c r="BB326" s="23">
        <v>0</v>
      </c>
      <c r="BC326" s="23">
        <v>122</v>
      </c>
      <c r="BD326" s="23">
        <v>98.515000000000001</v>
      </c>
    </row>
    <row r="327" spans="52:56" x14ac:dyDescent="0.25">
      <c r="AZ327" s="23">
        <v>324</v>
      </c>
      <c r="BA327" s="23">
        <v>0</v>
      </c>
      <c r="BB327" s="23">
        <v>0</v>
      </c>
      <c r="BC327" s="23">
        <v>122</v>
      </c>
      <c r="BD327" s="23">
        <v>98.82</v>
      </c>
    </row>
    <row r="328" spans="52:56" x14ac:dyDescent="0.25">
      <c r="AZ328" s="23">
        <v>325</v>
      </c>
      <c r="BA328" s="23">
        <v>0</v>
      </c>
      <c r="BB328" s="23">
        <v>0</v>
      </c>
      <c r="BC328" s="23">
        <v>122</v>
      </c>
      <c r="BD328" s="23">
        <v>99.125</v>
      </c>
    </row>
    <row r="329" spans="52:56" x14ac:dyDescent="0.25">
      <c r="AZ329" s="23">
        <v>326</v>
      </c>
      <c r="BA329" s="23">
        <v>0</v>
      </c>
      <c r="BB329" s="23">
        <v>0</v>
      </c>
      <c r="BC329" s="23">
        <v>122</v>
      </c>
      <c r="BD329" s="23">
        <v>99.429999999999993</v>
      </c>
    </row>
    <row r="330" spans="52:56" x14ac:dyDescent="0.25">
      <c r="AZ330" s="23">
        <v>327</v>
      </c>
      <c r="BA330" s="23">
        <v>0</v>
      </c>
      <c r="BB330" s="23">
        <v>0</v>
      </c>
      <c r="BC330" s="23">
        <v>122</v>
      </c>
      <c r="BD330" s="23">
        <v>99.734999999999999</v>
      </c>
    </row>
    <row r="331" spans="52:56" x14ac:dyDescent="0.25">
      <c r="AZ331" s="23">
        <v>328</v>
      </c>
      <c r="BA331" s="23">
        <v>0</v>
      </c>
      <c r="BB331" s="23">
        <v>0</v>
      </c>
      <c r="BC331" s="23">
        <v>122</v>
      </c>
      <c r="BD331" s="23">
        <v>100.03999999999999</v>
      </c>
    </row>
    <row r="332" spans="52:56" x14ac:dyDescent="0.25">
      <c r="AZ332" s="23">
        <v>329</v>
      </c>
      <c r="BA332" s="23">
        <v>0</v>
      </c>
      <c r="BB332" s="23">
        <v>0</v>
      </c>
      <c r="BC332" s="23">
        <v>122</v>
      </c>
      <c r="BD332" s="23">
        <v>100.345</v>
      </c>
    </row>
    <row r="333" spans="52:56" x14ac:dyDescent="0.25">
      <c r="AZ333" s="23">
        <v>330</v>
      </c>
      <c r="BA333" s="23">
        <v>0</v>
      </c>
      <c r="BB333" s="23">
        <v>0</v>
      </c>
      <c r="BC333" s="23">
        <v>122</v>
      </c>
      <c r="BD333" s="23">
        <v>100.64999999999999</v>
      </c>
    </row>
    <row r="334" spans="52:56" x14ac:dyDescent="0.25">
      <c r="AZ334" s="23">
        <v>331</v>
      </c>
      <c r="BA334" s="23">
        <v>0</v>
      </c>
      <c r="BB334" s="23">
        <v>0</v>
      </c>
      <c r="BC334" s="23">
        <v>122</v>
      </c>
      <c r="BD334" s="23">
        <v>100.955</v>
      </c>
    </row>
    <row r="335" spans="52:56" x14ac:dyDescent="0.25">
      <c r="AZ335" s="23">
        <v>332</v>
      </c>
      <c r="BA335" s="23">
        <v>0</v>
      </c>
      <c r="BB335" s="23">
        <v>0</v>
      </c>
      <c r="BC335" s="23">
        <v>122</v>
      </c>
      <c r="BD335" s="23">
        <v>101.25999999999999</v>
      </c>
    </row>
    <row r="336" spans="52:56" x14ac:dyDescent="0.25">
      <c r="AZ336" s="23">
        <v>333</v>
      </c>
      <c r="BA336" s="23">
        <v>0</v>
      </c>
      <c r="BB336" s="23">
        <v>0</v>
      </c>
      <c r="BC336" s="23">
        <v>122</v>
      </c>
      <c r="BD336" s="23">
        <v>101.565</v>
      </c>
    </row>
    <row r="337" spans="52:56" x14ac:dyDescent="0.25">
      <c r="AZ337" s="23">
        <v>334</v>
      </c>
      <c r="BA337" s="23">
        <v>0</v>
      </c>
      <c r="BB337" s="23">
        <v>0</v>
      </c>
      <c r="BC337" s="23">
        <v>122</v>
      </c>
      <c r="BD337" s="23">
        <v>101.87</v>
      </c>
    </row>
    <row r="338" spans="52:56" x14ac:dyDescent="0.25">
      <c r="AZ338" s="23">
        <v>335</v>
      </c>
      <c r="BA338" s="23">
        <v>0</v>
      </c>
      <c r="BB338" s="23">
        <v>0</v>
      </c>
      <c r="BC338" s="23">
        <v>122</v>
      </c>
      <c r="BD338" s="23">
        <v>102.175</v>
      </c>
    </row>
    <row r="339" spans="52:56" x14ac:dyDescent="0.25">
      <c r="AZ339" s="23">
        <v>336</v>
      </c>
      <c r="BA339" s="23">
        <v>0</v>
      </c>
      <c r="BB339" s="23">
        <v>0</v>
      </c>
      <c r="BC339" s="23">
        <v>122</v>
      </c>
      <c r="BD339" s="23">
        <v>102.48</v>
      </c>
    </row>
    <row r="340" spans="52:56" x14ac:dyDescent="0.25">
      <c r="AZ340" s="23">
        <v>337</v>
      </c>
      <c r="BA340" s="23">
        <v>0</v>
      </c>
      <c r="BB340" s="23">
        <v>0</v>
      </c>
      <c r="BC340" s="23">
        <v>122</v>
      </c>
      <c r="BD340" s="23">
        <v>102.785</v>
      </c>
    </row>
    <row r="341" spans="52:56" x14ac:dyDescent="0.25">
      <c r="AZ341" s="23">
        <v>338</v>
      </c>
      <c r="BA341" s="23">
        <v>0</v>
      </c>
      <c r="BB341" s="23">
        <v>0</v>
      </c>
      <c r="BC341" s="23">
        <v>122</v>
      </c>
      <c r="BD341" s="23">
        <v>103.09</v>
      </c>
    </row>
    <row r="342" spans="52:56" x14ac:dyDescent="0.25">
      <c r="AZ342" s="23">
        <v>339</v>
      </c>
      <c r="BA342" s="23">
        <v>0</v>
      </c>
      <c r="BB342" s="23">
        <v>0</v>
      </c>
      <c r="BC342" s="23">
        <v>122</v>
      </c>
      <c r="BD342" s="23">
        <v>103.395</v>
      </c>
    </row>
    <row r="343" spans="52:56" x14ac:dyDescent="0.25">
      <c r="AZ343" s="23">
        <v>340</v>
      </c>
      <c r="BA343" s="23">
        <v>0</v>
      </c>
      <c r="BB343" s="23">
        <v>0</v>
      </c>
      <c r="BC343" s="23">
        <v>122</v>
      </c>
      <c r="BD343" s="23">
        <v>103.7</v>
      </c>
    </row>
    <row r="344" spans="52:56" x14ac:dyDescent="0.25">
      <c r="AZ344" s="23">
        <v>341</v>
      </c>
      <c r="BA344" s="23">
        <v>0</v>
      </c>
      <c r="BB344" s="23">
        <v>0</v>
      </c>
      <c r="BC344" s="23">
        <v>122</v>
      </c>
      <c r="BD344" s="23">
        <v>104.005</v>
      </c>
    </row>
    <row r="345" spans="52:56" x14ac:dyDescent="0.25">
      <c r="AZ345" s="23">
        <v>342</v>
      </c>
      <c r="BA345" s="23">
        <v>0</v>
      </c>
      <c r="BB345" s="23">
        <v>0</v>
      </c>
      <c r="BC345" s="23">
        <v>122</v>
      </c>
      <c r="BD345" s="23">
        <v>104.31</v>
      </c>
    </row>
    <row r="346" spans="52:56" x14ac:dyDescent="0.25">
      <c r="AZ346" s="23">
        <v>343</v>
      </c>
      <c r="BA346" s="23">
        <v>0</v>
      </c>
      <c r="BB346" s="23">
        <v>0</v>
      </c>
      <c r="BC346" s="23">
        <v>122</v>
      </c>
      <c r="BD346" s="23">
        <v>104.61499999999999</v>
      </c>
    </row>
    <row r="347" spans="52:56" x14ac:dyDescent="0.25">
      <c r="AZ347" s="23">
        <v>344</v>
      </c>
      <c r="BA347" s="23">
        <v>0</v>
      </c>
      <c r="BB347" s="23">
        <v>0</v>
      </c>
      <c r="BC347" s="23">
        <v>122</v>
      </c>
      <c r="BD347" s="23">
        <v>104.92</v>
      </c>
    </row>
    <row r="348" spans="52:56" x14ac:dyDescent="0.25">
      <c r="AZ348" s="23">
        <v>345</v>
      </c>
      <c r="BA348" s="23">
        <v>0</v>
      </c>
      <c r="BB348" s="23">
        <v>0</v>
      </c>
      <c r="BC348" s="23">
        <v>122</v>
      </c>
      <c r="BD348" s="23">
        <v>105.22499999999999</v>
      </c>
    </row>
    <row r="349" spans="52:56" x14ac:dyDescent="0.25">
      <c r="AZ349" s="23">
        <v>346</v>
      </c>
      <c r="BA349" s="23">
        <v>0</v>
      </c>
      <c r="BB349" s="23">
        <v>0</v>
      </c>
      <c r="BC349" s="23">
        <v>122</v>
      </c>
      <c r="BD349" s="23">
        <v>105.53</v>
      </c>
    </row>
    <row r="350" spans="52:56" x14ac:dyDescent="0.25">
      <c r="AZ350" s="23">
        <v>347</v>
      </c>
      <c r="BA350" s="23">
        <v>0</v>
      </c>
      <c r="BB350" s="23">
        <v>0</v>
      </c>
      <c r="BC350" s="23">
        <v>122</v>
      </c>
      <c r="BD350" s="23">
        <v>105.83499999999999</v>
      </c>
    </row>
    <row r="351" spans="52:56" x14ac:dyDescent="0.25">
      <c r="AZ351" s="23">
        <v>348</v>
      </c>
      <c r="BA351" s="23">
        <v>0</v>
      </c>
      <c r="BB351" s="23">
        <v>0</v>
      </c>
      <c r="BC351" s="23">
        <v>122</v>
      </c>
      <c r="BD351" s="23">
        <v>106.14</v>
      </c>
    </row>
    <row r="352" spans="52:56" x14ac:dyDescent="0.25">
      <c r="AZ352" s="23">
        <v>349</v>
      </c>
      <c r="BA352" s="23">
        <v>0</v>
      </c>
      <c r="BB352" s="23">
        <v>0</v>
      </c>
      <c r="BC352" s="23">
        <v>122</v>
      </c>
      <c r="BD352" s="23">
        <v>106.44499999999999</v>
      </c>
    </row>
    <row r="353" spans="52:56" x14ac:dyDescent="0.25">
      <c r="AZ353" s="23">
        <v>350</v>
      </c>
      <c r="BA353" s="23">
        <v>0</v>
      </c>
      <c r="BB353" s="23">
        <v>0</v>
      </c>
      <c r="BC353" s="23">
        <v>122</v>
      </c>
      <c r="BD353" s="23">
        <v>106.75</v>
      </c>
    </row>
    <row r="354" spans="52:56" x14ac:dyDescent="0.25">
      <c r="AZ354" s="23">
        <v>351</v>
      </c>
      <c r="BA354" s="23">
        <v>0</v>
      </c>
      <c r="BB354" s="23">
        <v>0</v>
      </c>
      <c r="BC354" s="23">
        <v>122</v>
      </c>
      <c r="BD354" s="23">
        <v>107.05499999999999</v>
      </c>
    </row>
    <row r="355" spans="52:56" x14ac:dyDescent="0.25">
      <c r="AZ355" s="23">
        <v>352</v>
      </c>
      <c r="BA355" s="23">
        <v>0</v>
      </c>
      <c r="BB355" s="23">
        <v>0</v>
      </c>
      <c r="BC355" s="23">
        <v>122</v>
      </c>
      <c r="BD355" s="23">
        <v>107.36</v>
      </c>
    </row>
    <row r="356" spans="52:56" x14ac:dyDescent="0.25">
      <c r="AZ356" s="23">
        <v>353</v>
      </c>
      <c r="BA356" s="23">
        <v>0</v>
      </c>
      <c r="BB356" s="23">
        <v>0</v>
      </c>
      <c r="BC356" s="23">
        <v>122</v>
      </c>
      <c r="BD356" s="23">
        <v>107.66499999999999</v>
      </c>
    </row>
    <row r="357" spans="52:56" x14ac:dyDescent="0.25">
      <c r="AZ357" s="23">
        <v>354</v>
      </c>
      <c r="BA357" s="23">
        <v>0</v>
      </c>
      <c r="BB357" s="23">
        <v>0</v>
      </c>
      <c r="BC357" s="23">
        <v>122</v>
      </c>
      <c r="BD357" s="23">
        <v>107.97</v>
      </c>
    </row>
    <row r="358" spans="52:56" x14ac:dyDescent="0.25">
      <c r="AZ358" s="23">
        <v>355</v>
      </c>
      <c r="BA358" s="23">
        <v>0</v>
      </c>
      <c r="BB358" s="23">
        <v>0</v>
      </c>
      <c r="BC358" s="23">
        <v>122</v>
      </c>
      <c r="BD358" s="23">
        <v>108.27499999999999</v>
      </c>
    </row>
    <row r="359" spans="52:56" x14ac:dyDescent="0.25">
      <c r="AZ359" s="23">
        <v>356</v>
      </c>
      <c r="BA359" s="23">
        <v>0</v>
      </c>
      <c r="BB359" s="23">
        <v>0</v>
      </c>
      <c r="BC359" s="23">
        <v>122</v>
      </c>
      <c r="BD359" s="23">
        <v>108.58</v>
      </c>
    </row>
    <row r="360" spans="52:56" x14ac:dyDescent="0.25">
      <c r="AZ360" s="23">
        <v>357</v>
      </c>
      <c r="BA360" s="23">
        <v>0</v>
      </c>
      <c r="BB360" s="23">
        <v>0</v>
      </c>
      <c r="BC360" s="23">
        <v>122</v>
      </c>
      <c r="BD360" s="23">
        <v>108.88499999999999</v>
      </c>
    </row>
    <row r="361" spans="52:56" x14ac:dyDescent="0.25">
      <c r="AZ361" s="23">
        <v>358</v>
      </c>
      <c r="BA361" s="23">
        <v>0</v>
      </c>
      <c r="BB361" s="23">
        <v>0</v>
      </c>
      <c r="BC361" s="23">
        <v>122</v>
      </c>
      <c r="BD361" s="23">
        <v>109.19</v>
      </c>
    </row>
    <row r="362" spans="52:56" x14ac:dyDescent="0.25">
      <c r="AZ362" s="23">
        <v>359</v>
      </c>
      <c r="BA362" s="23">
        <v>0</v>
      </c>
      <c r="BB362" s="23">
        <v>0</v>
      </c>
      <c r="BC362" s="23">
        <v>122</v>
      </c>
      <c r="BD362" s="23">
        <v>109.495</v>
      </c>
    </row>
    <row r="363" spans="52:56" x14ac:dyDescent="0.25">
      <c r="AZ363" s="23">
        <v>360</v>
      </c>
      <c r="BA363" s="23">
        <v>0</v>
      </c>
      <c r="BB363" s="23">
        <v>0</v>
      </c>
      <c r="BC363" s="23">
        <v>122</v>
      </c>
      <c r="BD363" s="23">
        <v>109.8</v>
      </c>
    </row>
    <row r="364" spans="52:56" x14ac:dyDescent="0.25">
      <c r="AZ364" s="24">
        <v>361</v>
      </c>
      <c r="BA364" s="24">
        <v>0</v>
      </c>
      <c r="BB364" s="24">
        <v>0</v>
      </c>
      <c r="BC364" s="24">
        <v>122</v>
      </c>
      <c r="BD364" s="24">
        <v>110.105</v>
      </c>
    </row>
    <row r="365" spans="52:56" x14ac:dyDescent="0.25">
      <c r="AZ365" s="24">
        <v>362</v>
      </c>
      <c r="BA365" s="24">
        <v>0</v>
      </c>
      <c r="BB365" s="24">
        <v>0</v>
      </c>
      <c r="BC365" s="24">
        <v>122</v>
      </c>
      <c r="BD365" s="24">
        <v>110.41</v>
      </c>
    </row>
    <row r="366" spans="52:56" x14ac:dyDescent="0.25">
      <c r="AZ366" s="24">
        <v>363</v>
      </c>
      <c r="BA366" s="24">
        <v>0</v>
      </c>
      <c r="BB366" s="24">
        <v>0</v>
      </c>
      <c r="BC366" s="24">
        <v>122</v>
      </c>
      <c r="BD366" s="24">
        <v>110.715</v>
      </c>
    </row>
    <row r="367" spans="52:56" x14ac:dyDescent="0.25">
      <c r="AZ367" s="24">
        <v>364</v>
      </c>
      <c r="BA367" s="24">
        <v>0</v>
      </c>
      <c r="BB367" s="24">
        <v>0</v>
      </c>
      <c r="BC367" s="24">
        <v>122</v>
      </c>
      <c r="BD367" s="24">
        <v>111.02</v>
      </c>
    </row>
    <row r="368" spans="52:56" x14ac:dyDescent="0.25">
      <c r="AZ368" s="24">
        <v>365</v>
      </c>
      <c r="BA368" s="24">
        <v>0</v>
      </c>
      <c r="BB368" s="24">
        <v>0</v>
      </c>
      <c r="BC368" s="24">
        <v>122</v>
      </c>
      <c r="BD368" s="24">
        <v>111.325</v>
      </c>
    </row>
    <row r="369" spans="52:56" x14ac:dyDescent="0.25">
      <c r="AZ369" s="24">
        <v>366</v>
      </c>
      <c r="BA369" s="24">
        <v>0</v>
      </c>
      <c r="BB369" s="24">
        <v>0</v>
      </c>
      <c r="BC369" s="24">
        <v>122</v>
      </c>
      <c r="BD369" s="24">
        <v>111.63</v>
      </c>
    </row>
    <row r="370" spans="52:56" x14ac:dyDescent="0.25">
      <c r="AZ370" s="24">
        <v>367</v>
      </c>
      <c r="BA370" s="24">
        <v>0</v>
      </c>
      <c r="BB370" s="24">
        <v>0</v>
      </c>
      <c r="BC370" s="24">
        <v>122</v>
      </c>
      <c r="BD370" s="24">
        <v>111.935</v>
      </c>
    </row>
    <row r="371" spans="52:56" x14ac:dyDescent="0.25">
      <c r="AZ371" s="24">
        <v>368</v>
      </c>
      <c r="BA371" s="24">
        <v>0</v>
      </c>
      <c r="BB371" s="24">
        <v>0</v>
      </c>
      <c r="BC371" s="24">
        <v>122</v>
      </c>
      <c r="BD371" s="24">
        <v>112.24</v>
      </c>
    </row>
    <row r="372" spans="52:56" x14ac:dyDescent="0.25">
      <c r="AZ372" s="24">
        <v>369</v>
      </c>
      <c r="BA372" s="24">
        <v>0</v>
      </c>
      <c r="BB372" s="24">
        <v>0</v>
      </c>
      <c r="BC372" s="24">
        <v>122</v>
      </c>
      <c r="BD372" s="24">
        <v>112.545</v>
      </c>
    </row>
    <row r="373" spans="52:56" x14ac:dyDescent="0.25">
      <c r="AZ373" s="24">
        <v>370</v>
      </c>
      <c r="BA373" s="24">
        <v>0</v>
      </c>
      <c r="BB373" s="24">
        <v>0</v>
      </c>
      <c r="BC373" s="24">
        <v>122</v>
      </c>
      <c r="BD373" s="24">
        <v>112.85</v>
      </c>
    </row>
    <row r="374" spans="52:56" x14ac:dyDescent="0.25">
      <c r="AZ374" s="24">
        <v>371</v>
      </c>
      <c r="BA374" s="24">
        <v>0</v>
      </c>
      <c r="BB374" s="24">
        <v>0</v>
      </c>
      <c r="BC374" s="24">
        <v>122</v>
      </c>
      <c r="BD374" s="24">
        <v>113.155</v>
      </c>
    </row>
    <row r="375" spans="52:56" x14ac:dyDescent="0.25">
      <c r="AZ375" s="24">
        <v>372</v>
      </c>
      <c r="BA375" s="24">
        <v>0</v>
      </c>
      <c r="BB375" s="24">
        <v>0</v>
      </c>
      <c r="BC375" s="24">
        <v>122</v>
      </c>
      <c r="BD375" s="24">
        <v>113.46</v>
      </c>
    </row>
    <row r="376" spans="52:56" x14ac:dyDescent="0.25">
      <c r="AZ376" s="24">
        <v>373</v>
      </c>
      <c r="BA376" s="24">
        <v>0</v>
      </c>
      <c r="BB376" s="24">
        <v>0</v>
      </c>
      <c r="BC376" s="24">
        <v>122</v>
      </c>
      <c r="BD376" s="24">
        <v>113.765</v>
      </c>
    </row>
    <row r="377" spans="52:56" x14ac:dyDescent="0.25">
      <c r="AZ377" s="24">
        <v>374</v>
      </c>
      <c r="BA377" s="24">
        <v>0</v>
      </c>
      <c r="BB377" s="24">
        <v>0</v>
      </c>
      <c r="BC377" s="24">
        <v>122</v>
      </c>
      <c r="BD377" s="24">
        <v>114.07</v>
      </c>
    </row>
    <row r="378" spans="52:56" x14ac:dyDescent="0.25">
      <c r="AZ378" s="24">
        <v>375</v>
      </c>
      <c r="BA378" s="24">
        <v>0</v>
      </c>
      <c r="BB378" s="24">
        <v>0</v>
      </c>
      <c r="BC378" s="24">
        <v>122</v>
      </c>
      <c r="BD378" s="24">
        <v>114.375</v>
      </c>
    </row>
    <row r="379" spans="52:56" x14ac:dyDescent="0.25">
      <c r="AZ379" s="24">
        <v>376</v>
      </c>
      <c r="BA379" s="24">
        <v>0</v>
      </c>
      <c r="BB379" s="24">
        <v>0</v>
      </c>
      <c r="BC379" s="24">
        <v>122</v>
      </c>
      <c r="BD379" s="24">
        <v>114.67999999999999</v>
      </c>
    </row>
    <row r="380" spans="52:56" x14ac:dyDescent="0.25">
      <c r="AZ380" s="24">
        <v>377</v>
      </c>
      <c r="BA380" s="24">
        <v>0</v>
      </c>
      <c r="BB380" s="24">
        <v>0</v>
      </c>
      <c r="BC380" s="24">
        <v>122</v>
      </c>
      <c r="BD380" s="24">
        <v>114.985</v>
      </c>
    </row>
    <row r="381" spans="52:56" x14ac:dyDescent="0.25">
      <c r="AZ381" s="24">
        <v>378</v>
      </c>
      <c r="BA381" s="24">
        <v>0</v>
      </c>
      <c r="BB381" s="24">
        <v>0</v>
      </c>
      <c r="BC381" s="24">
        <v>122</v>
      </c>
      <c r="BD381" s="24">
        <v>115.28999999999999</v>
      </c>
    </row>
    <row r="382" spans="52:56" x14ac:dyDescent="0.25">
      <c r="AZ382" s="24">
        <v>379</v>
      </c>
      <c r="BA382" s="24">
        <v>0</v>
      </c>
      <c r="BB382" s="24">
        <v>0</v>
      </c>
      <c r="BC382" s="24">
        <v>122</v>
      </c>
      <c r="BD382" s="24">
        <v>115.595</v>
      </c>
    </row>
    <row r="383" spans="52:56" x14ac:dyDescent="0.25">
      <c r="AZ383" s="24">
        <v>380</v>
      </c>
      <c r="BA383" s="24">
        <v>0</v>
      </c>
      <c r="BB383" s="24">
        <v>0</v>
      </c>
      <c r="BC383" s="24">
        <v>122</v>
      </c>
      <c r="BD383" s="24">
        <v>115.89999999999999</v>
      </c>
    </row>
    <row r="384" spans="52:56" x14ac:dyDescent="0.25">
      <c r="AZ384" s="24">
        <v>381</v>
      </c>
      <c r="BA384" s="24">
        <v>0</v>
      </c>
      <c r="BB384" s="24">
        <v>0</v>
      </c>
      <c r="BC384" s="24">
        <v>122</v>
      </c>
      <c r="BD384" s="24">
        <v>116.205</v>
      </c>
    </row>
    <row r="385" spans="52:56" x14ac:dyDescent="0.25">
      <c r="AZ385" s="24">
        <v>382</v>
      </c>
      <c r="BA385" s="24">
        <v>0</v>
      </c>
      <c r="BB385" s="24">
        <v>0</v>
      </c>
      <c r="BC385" s="24">
        <v>122</v>
      </c>
      <c r="BD385" s="24">
        <v>116.50999999999999</v>
      </c>
    </row>
    <row r="386" spans="52:56" x14ac:dyDescent="0.25">
      <c r="AZ386" s="24">
        <v>383</v>
      </c>
      <c r="BA386" s="24">
        <v>0</v>
      </c>
      <c r="BB386" s="24">
        <v>0</v>
      </c>
      <c r="BC386" s="24">
        <v>122</v>
      </c>
      <c r="BD386" s="24">
        <v>116.815</v>
      </c>
    </row>
    <row r="387" spans="52:56" x14ac:dyDescent="0.25">
      <c r="AZ387" s="24">
        <v>384</v>
      </c>
      <c r="BA387" s="24">
        <v>0</v>
      </c>
      <c r="BB387" s="24">
        <v>0</v>
      </c>
      <c r="BC387" s="24">
        <v>122</v>
      </c>
      <c r="BD387" s="24">
        <v>117.12</v>
      </c>
    </row>
    <row r="388" spans="52:56" x14ac:dyDescent="0.25">
      <c r="AZ388" s="24">
        <v>385</v>
      </c>
      <c r="BA388" s="24">
        <v>0</v>
      </c>
      <c r="BB388" s="24">
        <v>0</v>
      </c>
      <c r="BC388" s="24">
        <v>122</v>
      </c>
      <c r="BD388" s="24">
        <v>117.425</v>
      </c>
    </row>
    <row r="389" spans="52:56" x14ac:dyDescent="0.25">
      <c r="AZ389" s="24">
        <v>386</v>
      </c>
      <c r="BA389" s="24">
        <v>0</v>
      </c>
      <c r="BB389" s="24">
        <v>0</v>
      </c>
      <c r="BC389" s="24">
        <v>122</v>
      </c>
      <c r="BD389" s="24">
        <v>117.73</v>
      </c>
    </row>
    <row r="390" spans="52:56" x14ac:dyDescent="0.25">
      <c r="AZ390" s="24">
        <v>387</v>
      </c>
      <c r="BA390" s="24">
        <v>0</v>
      </c>
      <c r="BB390" s="24">
        <v>0</v>
      </c>
      <c r="BC390" s="24">
        <v>122</v>
      </c>
      <c r="BD390" s="24">
        <v>118.035</v>
      </c>
    </row>
    <row r="391" spans="52:56" x14ac:dyDescent="0.25">
      <c r="AZ391" s="24">
        <v>388</v>
      </c>
      <c r="BA391" s="24">
        <v>0</v>
      </c>
      <c r="BB391" s="24">
        <v>0</v>
      </c>
      <c r="BC391" s="24">
        <v>122</v>
      </c>
      <c r="BD391" s="24">
        <v>118.34</v>
      </c>
    </row>
    <row r="392" spans="52:56" x14ac:dyDescent="0.25">
      <c r="AZ392" s="24">
        <v>389</v>
      </c>
      <c r="BA392" s="24">
        <v>0</v>
      </c>
      <c r="BB392" s="24">
        <v>0</v>
      </c>
      <c r="BC392" s="24">
        <v>122</v>
      </c>
      <c r="BD392" s="24">
        <v>118.645</v>
      </c>
    </row>
    <row r="393" spans="52:56" x14ac:dyDescent="0.25">
      <c r="AZ393" s="24">
        <v>390</v>
      </c>
      <c r="BA393" s="24">
        <v>0</v>
      </c>
      <c r="BB393" s="24">
        <v>0</v>
      </c>
      <c r="BC393" s="24">
        <v>122</v>
      </c>
      <c r="BD393" s="24">
        <v>118.95</v>
      </c>
    </row>
    <row r="394" spans="52:56" x14ac:dyDescent="0.25">
      <c r="AZ394" s="24">
        <v>391</v>
      </c>
      <c r="BA394" s="24">
        <v>0</v>
      </c>
      <c r="BB394" s="24">
        <v>0</v>
      </c>
      <c r="BC394" s="24">
        <v>122</v>
      </c>
      <c r="BD394" s="24">
        <v>119.255</v>
      </c>
    </row>
    <row r="395" spans="52:56" x14ac:dyDescent="0.25">
      <c r="AZ395" s="24">
        <v>392</v>
      </c>
      <c r="BA395" s="24">
        <v>0</v>
      </c>
      <c r="BB395" s="24">
        <v>0</v>
      </c>
      <c r="BC395" s="24">
        <v>122</v>
      </c>
      <c r="BD395" s="24">
        <v>119.56</v>
      </c>
    </row>
    <row r="396" spans="52:56" x14ac:dyDescent="0.25">
      <c r="AZ396" s="24">
        <v>393</v>
      </c>
      <c r="BA396" s="24">
        <v>0</v>
      </c>
      <c r="BB396" s="24">
        <v>0</v>
      </c>
      <c r="BC396" s="24">
        <v>122</v>
      </c>
      <c r="BD396" s="24">
        <v>119.86499999999999</v>
      </c>
    </row>
    <row r="397" spans="52:56" x14ac:dyDescent="0.25">
      <c r="AZ397" s="24">
        <v>394</v>
      </c>
      <c r="BA397" s="24">
        <v>0</v>
      </c>
      <c r="BB397" s="24">
        <v>0</v>
      </c>
      <c r="BC397" s="24">
        <v>122</v>
      </c>
      <c r="BD397" s="24">
        <v>120.17</v>
      </c>
    </row>
    <row r="398" spans="52:56" x14ac:dyDescent="0.25">
      <c r="AZ398" s="24">
        <v>395</v>
      </c>
      <c r="BA398" s="24">
        <v>0</v>
      </c>
      <c r="BB398" s="24">
        <v>0</v>
      </c>
      <c r="BC398" s="24">
        <v>122</v>
      </c>
      <c r="BD398" s="24">
        <v>120.47499999999999</v>
      </c>
    </row>
    <row r="399" spans="52:56" x14ac:dyDescent="0.25">
      <c r="AZ399" s="24">
        <v>396</v>
      </c>
      <c r="BA399" s="24">
        <v>0</v>
      </c>
      <c r="BB399" s="24">
        <v>0</v>
      </c>
      <c r="BC399" s="24">
        <v>122</v>
      </c>
      <c r="BD399" s="24">
        <v>120.78</v>
      </c>
    </row>
    <row r="400" spans="52:56" x14ac:dyDescent="0.25">
      <c r="AZ400" s="24">
        <v>397</v>
      </c>
      <c r="BA400" s="24">
        <v>0</v>
      </c>
      <c r="BB400" s="24">
        <v>0</v>
      </c>
      <c r="BC400" s="24">
        <v>122</v>
      </c>
      <c r="BD400" s="24">
        <v>121.08499999999999</v>
      </c>
    </row>
    <row r="401" spans="52:56" x14ac:dyDescent="0.25">
      <c r="AZ401" s="24">
        <v>398</v>
      </c>
      <c r="BA401" s="24">
        <v>0</v>
      </c>
      <c r="BB401" s="24">
        <v>0</v>
      </c>
      <c r="BC401" s="24">
        <v>122</v>
      </c>
      <c r="BD401" s="24">
        <v>121.39</v>
      </c>
    </row>
    <row r="402" spans="52:56" x14ac:dyDescent="0.25">
      <c r="AZ402" s="24">
        <v>399</v>
      </c>
      <c r="BA402" s="24">
        <v>0</v>
      </c>
      <c r="BB402" s="24">
        <v>0</v>
      </c>
      <c r="BC402" s="24">
        <v>122</v>
      </c>
      <c r="BD402" s="24">
        <v>121.69499999999999</v>
      </c>
    </row>
    <row r="403" spans="52:56" x14ac:dyDescent="0.25">
      <c r="AZ403" s="24">
        <v>400</v>
      </c>
      <c r="BA403" s="24">
        <v>0</v>
      </c>
      <c r="BB403" s="24">
        <v>0</v>
      </c>
      <c r="BC403" s="24">
        <v>122</v>
      </c>
      <c r="BD403" s="24">
        <v>122</v>
      </c>
    </row>
  </sheetData>
  <mergeCells count="12">
    <mergeCell ref="B4:K4"/>
    <mergeCell ref="N4:Q4"/>
    <mergeCell ref="B5:C5"/>
    <mergeCell ref="D5:E5"/>
    <mergeCell ref="F5:G5"/>
    <mergeCell ref="H5:I5"/>
    <mergeCell ref="J5:K5"/>
    <mergeCell ref="B6:C6"/>
    <mergeCell ref="D6:E6"/>
    <mergeCell ref="F6:G6"/>
    <mergeCell ref="H6:I6"/>
    <mergeCell ref="J6:K6"/>
  </mergeCells>
  <hyperlinks>
    <hyperlink ref="B5" location="'KNNC_NewScore'!$B$12:$B$12" display="New Data Detail Rpt."/>
    <hyperlink ref="D5" location="'KNNC_Output'!$B$12:$B$12" display="Inputs"/>
    <hyperlink ref="F5" location="'KNNC_Output'!$B$41:$B$41" display="Prior Class Prob."/>
    <hyperlink ref="H5" location="'KNNC_Output'!$B$50:$B$50" display="Valid. Error Log"/>
    <hyperlink ref="J5" location="'KNNC_Output'!$B$75:$B$75" display="Train. Score - Summary"/>
    <hyperlink ref="B6" location="'KNNC_Output'!$B$99:$B$99" display="Valid. Score - Summary"/>
    <hyperlink ref="D6" location="'KNNC_TrainingLiftChart'!$B$12:$B$12" display="Training Lift Chart"/>
    <hyperlink ref="F6" location="'KNNC_ValidationLiftChart'!$B$12:$B$12" display="Validation Lift Chart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16"/>
  <sheetViews>
    <sheetView showGridLines="0" tabSelected="1" workbookViewId="0">
      <selection activeCell="B17" sqref="B17:B216"/>
    </sheetView>
  </sheetViews>
  <sheetFormatPr defaultRowHeight="15.75" x14ac:dyDescent="0.25"/>
  <cols>
    <col min="14" max="14" width="9.75" bestFit="1" customWidth="1"/>
  </cols>
  <sheetData>
    <row r="2" spans="2:17" ht="18.75" x14ac:dyDescent="0.3">
      <c r="B2" s="5" t="s">
        <v>55</v>
      </c>
      <c r="N2" t="s">
        <v>24</v>
      </c>
    </row>
    <row r="4" spans="2:17" x14ac:dyDescent="0.25">
      <c r="B4" s="11" t="s">
        <v>5</v>
      </c>
      <c r="C4" s="12"/>
      <c r="D4" s="12"/>
      <c r="E4" s="12"/>
      <c r="F4" s="12"/>
      <c r="G4" s="12"/>
      <c r="H4" s="12"/>
      <c r="I4" s="12"/>
      <c r="J4" s="12"/>
      <c r="K4" s="13"/>
      <c r="N4" s="11" t="s">
        <v>6</v>
      </c>
      <c r="O4" s="12"/>
      <c r="P4" s="12"/>
      <c r="Q4" s="13"/>
    </row>
    <row r="5" spans="2:17" x14ac:dyDescent="0.25">
      <c r="B5" s="21" t="s">
        <v>67</v>
      </c>
      <c r="C5" s="18"/>
      <c r="D5" s="21" t="s">
        <v>68</v>
      </c>
      <c r="E5" s="18"/>
      <c r="F5" s="21" t="s">
        <v>69</v>
      </c>
      <c r="G5" s="18"/>
      <c r="H5" s="21" t="s">
        <v>70</v>
      </c>
      <c r="I5" s="18"/>
      <c r="J5" s="21" t="s">
        <v>71</v>
      </c>
      <c r="K5" s="18"/>
      <c r="N5" s="10" t="s">
        <v>56</v>
      </c>
      <c r="O5" s="10" t="s">
        <v>57</v>
      </c>
      <c r="P5" s="10" t="s">
        <v>58</v>
      </c>
      <c r="Q5" s="10" t="s">
        <v>9</v>
      </c>
    </row>
    <row r="6" spans="2:17" x14ac:dyDescent="0.25">
      <c r="B6" s="21" t="s">
        <v>72</v>
      </c>
      <c r="C6" s="18"/>
      <c r="D6" s="21" t="s">
        <v>73</v>
      </c>
      <c r="E6" s="18"/>
      <c r="F6" s="21" t="s">
        <v>74</v>
      </c>
      <c r="G6" s="18"/>
      <c r="H6" s="17"/>
      <c r="I6" s="18"/>
      <c r="J6" s="17"/>
      <c r="K6" s="18"/>
      <c r="N6" s="7">
        <v>0</v>
      </c>
      <c r="O6" s="7">
        <v>31</v>
      </c>
      <c r="P6" s="7">
        <v>16</v>
      </c>
      <c r="Q6" s="7">
        <v>47</v>
      </c>
    </row>
    <row r="12" spans="2:17" x14ac:dyDescent="0.25">
      <c r="B12" s="9" t="s">
        <v>59</v>
      </c>
      <c r="C12" s="17" t="s">
        <v>60</v>
      </c>
      <c r="D12" s="22"/>
      <c r="E12" s="22"/>
      <c r="F12" s="18"/>
    </row>
    <row r="13" spans="2:17" x14ac:dyDescent="0.25">
      <c r="B13" s="9" t="s">
        <v>61</v>
      </c>
      <c r="C13" s="17" t="s">
        <v>1</v>
      </c>
      <c r="D13" s="22"/>
      <c r="E13" s="22"/>
      <c r="F13" s="18"/>
    </row>
    <row r="14" spans="2:17" x14ac:dyDescent="0.25">
      <c r="B14" s="9" t="s">
        <v>62</v>
      </c>
      <c r="C14" s="17" t="s">
        <v>63</v>
      </c>
      <c r="D14" s="22"/>
      <c r="E14" s="22"/>
      <c r="F14" s="18"/>
    </row>
    <row r="16" spans="2:17" x14ac:dyDescent="0.25">
      <c r="B16" s="10" t="s">
        <v>64</v>
      </c>
      <c r="C16" s="10" t="s">
        <v>65</v>
      </c>
      <c r="D16" s="10" t="s">
        <v>66</v>
      </c>
      <c r="E16" s="10" t="s">
        <v>0</v>
      </c>
    </row>
    <row r="17" spans="2:5" x14ac:dyDescent="0.25">
      <c r="B17" s="7">
        <v>0</v>
      </c>
      <c r="C17" s="7">
        <v>0.9</v>
      </c>
      <c r="D17" s="7">
        <v>0.1</v>
      </c>
      <c r="E17" s="7">
        <v>624</v>
      </c>
    </row>
    <row r="18" spans="2:5" x14ac:dyDescent="0.25">
      <c r="B18" s="7">
        <v>1</v>
      </c>
      <c r="C18" s="7">
        <v>0.1</v>
      </c>
      <c r="D18" s="7">
        <v>0.9</v>
      </c>
      <c r="E18" s="7">
        <v>962</v>
      </c>
    </row>
    <row r="19" spans="2:5" x14ac:dyDescent="0.25">
      <c r="B19" s="7">
        <v>0</v>
      </c>
      <c r="C19" s="7">
        <v>1</v>
      </c>
      <c r="D19" s="7">
        <v>0</v>
      </c>
      <c r="E19" s="7">
        <v>196</v>
      </c>
    </row>
    <row r="20" spans="2:5" x14ac:dyDescent="0.25">
      <c r="B20" s="7">
        <v>1</v>
      </c>
      <c r="C20" s="7">
        <v>0.3</v>
      </c>
      <c r="D20" s="7">
        <v>0.7</v>
      </c>
      <c r="E20" s="7">
        <v>866</v>
      </c>
    </row>
    <row r="21" spans="2:5" x14ac:dyDescent="0.25">
      <c r="B21" s="7">
        <v>0</v>
      </c>
      <c r="C21" s="7">
        <v>0.85</v>
      </c>
      <c r="D21" s="7">
        <v>0.15</v>
      </c>
      <c r="E21" s="7">
        <v>656</v>
      </c>
    </row>
    <row r="22" spans="2:5" x14ac:dyDescent="0.25">
      <c r="B22" s="7">
        <v>1</v>
      </c>
      <c r="C22" s="7">
        <v>0</v>
      </c>
      <c r="D22" s="7">
        <v>1</v>
      </c>
      <c r="E22" s="7">
        <v>1616</v>
      </c>
    </row>
    <row r="23" spans="2:5" x14ac:dyDescent="0.25">
      <c r="B23" s="7">
        <v>1</v>
      </c>
      <c r="C23" s="7">
        <v>0.3</v>
      </c>
      <c r="D23" s="7">
        <v>0.7</v>
      </c>
      <c r="E23" s="7">
        <v>880</v>
      </c>
    </row>
    <row r="24" spans="2:5" x14ac:dyDescent="0.25">
      <c r="B24" s="7">
        <v>1</v>
      </c>
      <c r="C24" s="7">
        <v>0</v>
      </c>
      <c r="D24" s="7">
        <v>1</v>
      </c>
      <c r="E24" s="7">
        <v>1777</v>
      </c>
    </row>
    <row r="25" spans="2:5" x14ac:dyDescent="0.25">
      <c r="B25" s="7">
        <v>0</v>
      </c>
      <c r="C25" s="7">
        <v>0.55000000000000004</v>
      </c>
      <c r="D25" s="7">
        <v>0.45</v>
      </c>
      <c r="E25" s="7">
        <v>821</v>
      </c>
    </row>
    <row r="26" spans="2:5" x14ac:dyDescent="0.25">
      <c r="B26" s="7">
        <v>0</v>
      </c>
      <c r="C26" s="7">
        <v>1</v>
      </c>
      <c r="D26" s="7">
        <v>0</v>
      </c>
      <c r="E26" s="7">
        <v>541</v>
      </c>
    </row>
    <row r="27" spans="2:5" x14ac:dyDescent="0.25">
      <c r="B27" s="7">
        <v>1</v>
      </c>
      <c r="C27" s="7">
        <v>0.05</v>
      </c>
      <c r="D27" s="7">
        <v>0.95</v>
      </c>
      <c r="E27" s="7">
        <v>2039</v>
      </c>
    </row>
    <row r="28" spans="2:5" x14ac:dyDescent="0.25">
      <c r="B28" s="7">
        <v>1</v>
      </c>
      <c r="C28" s="7">
        <v>0.2</v>
      </c>
      <c r="D28" s="7">
        <v>0.8</v>
      </c>
      <c r="E28" s="7">
        <v>902</v>
      </c>
    </row>
    <row r="29" spans="2:5" x14ac:dyDescent="0.25">
      <c r="B29" s="7">
        <v>1</v>
      </c>
      <c r="C29" s="7">
        <v>0.05</v>
      </c>
      <c r="D29" s="7">
        <v>0.95</v>
      </c>
      <c r="E29" s="7">
        <v>1143</v>
      </c>
    </row>
    <row r="30" spans="2:5" x14ac:dyDescent="0.25">
      <c r="B30" s="7">
        <v>1</v>
      </c>
      <c r="C30" s="7">
        <v>0</v>
      </c>
      <c r="D30" s="7">
        <v>1</v>
      </c>
      <c r="E30" s="7">
        <v>1097</v>
      </c>
    </row>
    <row r="31" spans="2:5" x14ac:dyDescent="0.25">
      <c r="B31" s="7">
        <v>0</v>
      </c>
      <c r="C31" s="7">
        <v>1</v>
      </c>
      <c r="D31" s="7">
        <v>0</v>
      </c>
      <c r="E31" s="7">
        <v>532</v>
      </c>
    </row>
    <row r="32" spans="2:5" x14ac:dyDescent="0.25">
      <c r="B32" s="7">
        <v>0</v>
      </c>
      <c r="C32" s="7">
        <v>1</v>
      </c>
      <c r="D32" s="7">
        <v>0</v>
      </c>
      <c r="E32" s="7">
        <v>214</v>
      </c>
    </row>
    <row r="33" spans="2:5" x14ac:dyDescent="0.25">
      <c r="B33" s="7">
        <v>1</v>
      </c>
      <c r="C33" s="7">
        <v>0.35</v>
      </c>
      <c r="D33" s="7">
        <v>0.65</v>
      </c>
      <c r="E33" s="7">
        <v>858</v>
      </c>
    </row>
    <row r="34" spans="2:5" x14ac:dyDescent="0.25">
      <c r="B34" s="7">
        <v>0</v>
      </c>
      <c r="C34" s="7">
        <v>1</v>
      </c>
      <c r="D34" s="7">
        <v>0</v>
      </c>
      <c r="E34" s="7">
        <v>466</v>
      </c>
    </row>
    <row r="35" spans="2:5" x14ac:dyDescent="0.25">
      <c r="B35" s="7">
        <v>1</v>
      </c>
      <c r="C35" s="7">
        <v>0.15</v>
      </c>
      <c r="D35" s="7">
        <v>0.85</v>
      </c>
      <c r="E35" s="7">
        <v>949</v>
      </c>
    </row>
    <row r="36" spans="2:5" x14ac:dyDescent="0.25">
      <c r="B36" s="7">
        <v>1</v>
      </c>
      <c r="C36" s="7">
        <v>0.1</v>
      </c>
      <c r="D36" s="7">
        <v>0.9</v>
      </c>
      <c r="E36" s="7">
        <v>998</v>
      </c>
    </row>
    <row r="37" spans="2:5" x14ac:dyDescent="0.25">
      <c r="B37" s="7">
        <v>0</v>
      </c>
      <c r="C37" s="7">
        <v>1</v>
      </c>
      <c r="D37" s="7">
        <v>0</v>
      </c>
      <c r="E37" s="7">
        <v>555</v>
      </c>
    </row>
    <row r="38" spans="2:5" x14ac:dyDescent="0.25">
      <c r="B38" s="7">
        <v>0</v>
      </c>
      <c r="C38" s="7">
        <v>1</v>
      </c>
      <c r="D38" s="7">
        <v>0</v>
      </c>
      <c r="E38" s="7">
        <v>69</v>
      </c>
    </row>
    <row r="39" spans="2:5" x14ac:dyDescent="0.25">
      <c r="B39" s="7">
        <v>1</v>
      </c>
      <c r="C39" s="7">
        <v>0.2</v>
      </c>
      <c r="D39" s="7">
        <v>0.8</v>
      </c>
      <c r="E39" s="7">
        <v>921</v>
      </c>
    </row>
    <row r="40" spans="2:5" x14ac:dyDescent="0.25">
      <c r="B40" s="7">
        <v>0</v>
      </c>
      <c r="C40" s="7">
        <v>1</v>
      </c>
      <c r="D40" s="7">
        <v>0</v>
      </c>
      <c r="E40" s="7">
        <v>489</v>
      </c>
    </row>
    <row r="41" spans="2:5" x14ac:dyDescent="0.25">
      <c r="B41" s="7">
        <v>0</v>
      </c>
      <c r="C41" s="7">
        <v>1</v>
      </c>
      <c r="D41" s="7">
        <v>0</v>
      </c>
      <c r="E41" s="7">
        <v>462</v>
      </c>
    </row>
    <row r="42" spans="2:5" x14ac:dyDescent="0.25">
      <c r="B42" s="7">
        <v>0</v>
      </c>
      <c r="C42" s="7">
        <v>0.6</v>
      </c>
      <c r="D42" s="7">
        <v>0.4</v>
      </c>
      <c r="E42" s="7">
        <v>710</v>
      </c>
    </row>
    <row r="43" spans="2:5" x14ac:dyDescent="0.25">
      <c r="B43" s="7">
        <v>1</v>
      </c>
      <c r="C43" s="7">
        <v>0.1</v>
      </c>
      <c r="D43" s="7">
        <v>0.9</v>
      </c>
      <c r="E43" s="7">
        <v>1015</v>
      </c>
    </row>
    <row r="44" spans="2:5" x14ac:dyDescent="0.25">
      <c r="B44" s="7">
        <v>0</v>
      </c>
      <c r="C44" s="7">
        <v>1</v>
      </c>
      <c r="D44" s="7">
        <v>0</v>
      </c>
      <c r="E44" s="7">
        <v>581</v>
      </c>
    </row>
    <row r="45" spans="2:5" x14ac:dyDescent="0.25">
      <c r="B45" s="7">
        <v>0</v>
      </c>
      <c r="C45" s="7">
        <v>0.95</v>
      </c>
      <c r="D45" s="7">
        <v>0.05</v>
      </c>
      <c r="E45" s="7">
        <v>639</v>
      </c>
    </row>
    <row r="46" spans="2:5" x14ac:dyDescent="0.25">
      <c r="B46" s="7">
        <v>0</v>
      </c>
      <c r="C46" s="7">
        <v>1</v>
      </c>
      <c r="D46" s="7">
        <v>0</v>
      </c>
      <c r="E46" s="7">
        <v>440</v>
      </c>
    </row>
    <row r="47" spans="2:5" x14ac:dyDescent="0.25">
      <c r="B47" s="7">
        <v>0</v>
      </c>
      <c r="C47" s="7">
        <v>1</v>
      </c>
      <c r="D47" s="7">
        <v>0</v>
      </c>
      <c r="E47" s="7">
        <v>187</v>
      </c>
    </row>
    <row r="48" spans="2:5" x14ac:dyDescent="0.25">
      <c r="B48" s="7">
        <v>1</v>
      </c>
      <c r="C48" s="7">
        <v>0</v>
      </c>
      <c r="D48" s="7">
        <v>1</v>
      </c>
      <c r="E48" s="7">
        <v>1044</v>
      </c>
    </row>
    <row r="49" spans="2:5" x14ac:dyDescent="0.25">
      <c r="B49" s="7">
        <v>0</v>
      </c>
      <c r="C49" s="7">
        <v>0.75</v>
      </c>
      <c r="D49" s="7">
        <v>0.25</v>
      </c>
      <c r="E49" s="7">
        <v>760</v>
      </c>
    </row>
    <row r="50" spans="2:5" x14ac:dyDescent="0.25">
      <c r="B50" s="7">
        <v>0</v>
      </c>
      <c r="C50" s="7">
        <v>1</v>
      </c>
      <c r="D50" s="7">
        <v>0</v>
      </c>
      <c r="E50" s="7">
        <v>592</v>
      </c>
    </row>
    <row r="51" spans="2:5" x14ac:dyDescent="0.25">
      <c r="B51" s="7">
        <v>1</v>
      </c>
      <c r="C51" s="7">
        <v>0.15</v>
      </c>
      <c r="D51" s="7">
        <v>0.85</v>
      </c>
      <c r="E51" s="7">
        <v>940</v>
      </c>
    </row>
    <row r="52" spans="2:5" x14ac:dyDescent="0.25">
      <c r="B52" s="7">
        <v>0</v>
      </c>
      <c r="C52" s="7">
        <v>1</v>
      </c>
      <c r="D52" s="7">
        <v>0</v>
      </c>
      <c r="E52" s="7">
        <v>86</v>
      </c>
    </row>
    <row r="53" spans="2:5" x14ac:dyDescent="0.25">
      <c r="B53" s="7">
        <v>0</v>
      </c>
      <c r="C53" s="7">
        <v>1</v>
      </c>
      <c r="D53" s="7">
        <v>0</v>
      </c>
      <c r="E53" s="7">
        <v>391</v>
      </c>
    </row>
    <row r="54" spans="2:5" x14ac:dyDescent="0.25">
      <c r="B54" s="7">
        <v>0</v>
      </c>
      <c r="C54" s="7">
        <v>0.85</v>
      </c>
      <c r="D54" s="7">
        <v>0.15</v>
      </c>
      <c r="E54" s="7">
        <v>654</v>
      </c>
    </row>
    <row r="55" spans="2:5" x14ac:dyDescent="0.25">
      <c r="B55" s="7">
        <v>0</v>
      </c>
      <c r="C55" s="7">
        <v>1</v>
      </c>
      <c r="D55" s="7">
        <v>0</v>
      </c>
      <c r="E55" s="7">
        <v>101</v>
      </c>
    </row>
    <row r="56" spans="2:5" x14ac:dyDescent="0.25">
      <c r="B56" s="7">
        <v>0</v>
      </c>
      <c r="C56" s="7">
        <v>1</v>
      </c>
      <c r="D56" s="7">
        <v>0</v>
      </c>
      <c r="E56" s="7">
        <v>321</v>
      </c>
    </row>
    <row r="57" spans="2:5" x14ac:dyDescent="0.25">
      <c r="B57" s="7">
        <v>0</v>
      </c>
      <c r="C57" s="7">
        <v>0.7</v>
      </c>
      <c r="D57" s="7">
        <v>0.3</v>
      </c>
      <c r="E57" s="7">
        <v>678</v>
      </c>
    </row>
    <row r="58" spans="2:5" x14ac:dyDescent="0.25">
      <c r="B58" s="7">
        <v>0</v>
      </c>
      <c r="C58" s="7">
        <v>0.8</v>
      </c>
      <c r="D58" s="7">
        <v>0.2</v>
      </c>
      <c r="E58" s="7">
        <v>763</v>
      </c>
    </row>
    <row r="59" spans="2:5" x14ac:dyDescent="0.25">
      <c r="B59" s="7">
        <v>0</v>
      </c>
      <c r="C59" s="7">
        <v>0.6</v>
      </c>
      <c r="D59" s="7">
        <v>0.4</v>
      </c>
      <c r="E59" s="7">
        <v>823</v>
      </c>
    </row>
    <row r="60" spans="2:5" x14ac:dyDescent="0.25">
      <c r="B60" s="7">
        <v>0</v>
      </c>
      <c r="C60" s="7">
        <v>1</v>
      </c>
      <c r="D60" s="7">
        <v>0</v>
      </c>
      <c r="E60" s="7">
        <v>509</v>
      </c>
    </row>
    <row r="61" spans="2:5" x14ac:dyDescent="0.25">
      <c r="B61" s="7">
        <v>0</v>
      </c>
      <c r="C61" s="7">
        <v>0.7</v>
      </c>
      <c r="D61" s="7">
        <v>0.3</v>
      </c>
      <c r="E61" s="7">
        <v>667</v>
      </c>
    </row>
    <row r="62" spans="2:5" x14ac:dyDescent="0.25">
      <c r="B62" s="7">
        <v>0</v>
      </c>
      <c r="C62" s="7">
        <v>0.65</v>
      </c>
      <c r="D62" s="7">
        <v>0.35</v>
      </c>
      <c r="E62" s="7">
        <v>695</v>
      </c>
    </row>
    <row r="63" spans="2:5" x14ac:dyDescent="0.25">
      <c r="B63" s="7">
        <v>1</v>
      </c>
      <c r="C63" s="7">
        <v>0</v>
      </c>
      <c r="D63" s="7">
        <v>1</v>
      </c>
      <c r="E63" s="7">
        <v>1497</v>
      </c>
    </row>
    <row r="64" spans="2:5" x14ac:dyDescent="0.25">
      <c r="B64" s="7">
        <v>1</v>
      </c>
      <c r="C64" s="7">
        <v>0</v>
      </c>
      <c r="D64" s="7">
        <v>1</v>
      </c>
      <c r="E64" s="7">
        <v>1239</v>
      </c>
    </row>
    <row r="65" spans="2:5" x14ac:dyDescent="0.25">
      <c r="B65" s="7">
        <v>0</v>
      </c>
      <c r="C65" s="7">
        <v>1</v>
      </c>
      <c r="D65" s="7">
        <v>0</v>
      </c>
      <c r="E65" s="7">
        <v>276</v>
      </c>
    </row>
    <row r="66" spans="2:5" x14ac:dyDescent="0.25">
      <c r="B66" s="7">
        <v>1</v>
      </c>
      <c r="C66" s="7">
        <v>0</v>
      </c>
      <c r="D66" s="7">
        <v>1</v>
      </c>
      <c r="E66" s="7">
        <v>1075</v>
      </c>
    </row>
    <row r="67" spans="2:5" x14ac:dyDescent="0.25">
      <c r="B67" s="7">
        <v>1</v>
      </c>
      <c r="C67" s="7">
        <v>0</v>
      </c>
      <c r="D67" s="7">
        <v>1</v>
      </c>
      <c r="E67" s="7">
        <v>1322</v>
      </c>
    </row>
    <row r="68" spans="2:5" x14ac:dyDescent="0.25">
      <c r="B68" s="7">
        <v>1</v>
      </c>
      <c r="C68" s="7">
        <v>0</v>
      </c>
      <c r="D68" s="7">
        <v>1</v>
      </c>
      <c r="E68" s="7">
        <v>1110</v>
      </c>
    </row>
    <row r="69" spans="2:5" x14ac:dyDescent="0.25">
      <c r="B69" s="7">
        <v>1</v>
      </c>
      <c r="C69" s="7">
        <v>0</v>
      </c>
      <c r="D69" s="7">
        <v>1</v>
      </c>
      <c r="E69" s="7">
        <v>1424</v>
      </c>
    </row>
    <row r="70" spans="2:5" x14ac:dyDescent="0.25">
      <c r="B70" s="7">
        <v>0</v>
      </c>
      <c r="C70" s="7">
        <v>1</v>
      </c>
      <c r="D70" s="7">
        <v>0</v>
      </c>
      <c r="E70" s="7">
        <v>211</v>
      </c>
    </row>
    <row r="71" spans="2:5" x14ac:dyDescent="0.25">
      <c r="B71" s="7">
        <v>1</v>
      </c>
      <c r="C71" s="7">
        <v>0</v>
      </c>
      <c r="D71" s="7">
        <v>1</v>
      </c>
      <c r="E71" s="7">
        <v>1364</v>
      </c>
    </row>
    <row r="72" spans="2:5" x14ac:dyDescent="0.25">
      <c r="B72" s="7">
        <v>1</v>
      </c>
      <c r="C72" s="7">
        <v>0.3</v>
      </c>
      <c r="D72" s="7">
        <v>0.7</v>
      </c>
      <c r="E72" s="7">
        <v>867</v>
      </c>
    </row>
    <row r="73" spans="2:5" x14ac:dyDescent="0.25">
      <c r="B73" s="7">
        <v>0</v>
      </c>
      <c r="C73" s="7">
        <v>1</v>
      </c>
      <c r="D73" s="7">
        <v>0</v>
      </c>
      <c r="E73" s="7">
        <v>407</v>
      </c>
    </row>
    <row r="74" spans="2:5" x14ac:dyDescent="0.25">
      <c r="B74" s="7">
        <v>0</v>
      </c>
      <c r="C74" s="7">
        <v>0.95</v>
      </c>
      <c r="D74" s="7">
        <v>0.05</v>
      </c>
      <c r="E74" s="7">
        <v>646</v>
      </c>
    </row>
    <row r="75" spans="2:5" x14ac:dyDescent="0.25">
      <c r="B75" s="7">
        <v>0</v>
      </c>
      <c r="C75" s="7">
        <v>1</v>
      </c>
      <c r="D75" s="7">
        <v>0</v>
      </c>
      <c r="E75" s="7">
        <v>395</v>
      </c>
    </row>
    <row r="76" spans="2:5" x14ac:dyDescent="0.25">
      <c r="B76" s="7">
        <v>1</v>
      </c>
      <c r="C76" s="7">
        <v>0.2</v>
      </c>
      <c r="D76" s="7">
        <v>0.8</v>
      </c>
      <c r="E76" s="7">
        <v>902</v>
      </c>
    </row>
    <row r="77" spans="2:5" x14ac:dyDescent="0.25">
      <c r="B77" s="7">
        <v>0</v>
      </c>
      <c r="C77" s="7">
        <v>1</v>
      </c>
      <c r="D77" s="7">
        <v>0</v>
      </c>
      <c r="E77" s="7">
        <v>427</v>
      </c>
    </row>
    <row r="78" spans="2:5" x14ac:dyDescent="0.25">
      <c r="B78" s="7">
        <v>1</v>
      </c>
      <c r="C78" s="7">
        <v>0</v>
      </c>
      <c r="D78" s="7">
        <v>1</v>
      </c>
      <c r="E78" s="7">
        <v>1228</v>
      </c>
    </row>
    <row r="79" spans="2:5" x14ac:dyDescent="0.25">
      <c r="B79" s="7">
        <v>1</v>
      </c>
      <c r="C79" s="7">
        <v>0.1</v>
      </c>
      <c r="D79" s="7">
        <v>0.9</v>
      </c>
      <c r="E79" s="7">
        <v>1008</v>
      </c>
    </row>
    <row r="80" spans="2:5" x14ac:dyDescent="0.25">
      <c r="B80" s="7">
        <v>0</v>
      </c>
      <c r="C80" s="7">
        <v>1</v>
      </c>
      <c r="D80" s="7">
        <v>0</v>
      </c>
      <c r="E80" s="7">
        <v>537</v>
      </c>
    </row>
    <row r="81" spans="2:5" x14ac:dyDescent="0.25">
      <c r="B81" s="7">
        <v>0</v>
      </c>
      <c r="C81" s="7">
        <v>1</v>
      </c>
      <c r="D81" s="7">
        <v>0</v>
      </c>
      <c r="E81" s="7">
        <v>444</v>
      </c>
    </row>
    <row r="82" spans="2:5" x14ac:dyDescent="0.25">
      <c r="B82" s="7">
        <v>0</v>
      </c>
      <c r="C82" s="7">
        <v>1</v>
      </c>
      <c r="D82" s="7">
        <v>0</v>
      </c>
      <c r="E82" s="7">
        <v>451</v>
      </c>
    </row>
    <row r="83" spans="2:5" x14ac:dyDescent="0.25">
      <c r="B83" s="7">
        <v>1</v>
      </c>
      <c r="C83" s="7">
        <v>0.4</v>
      </c>
      <c r="D83" s="7">
        <v>0.6</v>
      </c>
      <c r="E83" s="7">
        <v>857</v>
      </c>
    </row>
    <row r="84" spans="2:5" x14ac:dyDescent="0.25">
      <c r="B84" s="7">
        <v>0</v>
      </c>
      <c r="C84" s="7">
        <v>1</v>
      </c>
      <c r="D84" s="7">
        <v>0</v>
      </c>
      <c r="E84" s="7">
        <v>118</v>
      </c>
    </row>
    <row r="85" spans="2:5" x14ac:dyDescent="0.25">
      <c r="B85" s="7">
        <v>0</v>
      </c>
      <c r="C85" s="7">
        <v>0.75</v>
      </c>
      <c r="D85" s="7">
        <v>0.25</v>
      </c>
      <c r="E85" s="7">
        <v>688</v>
      </c>
    </row>
    <row r="86" spans="2:5" x14ac:dyDescent="0.25">
      <c r="B86" s="7">
        <v>1</v>
      </c>
      <c r="C86" s="7">
        <v>0</v>
      </c>
      <c r="D86" s="7">
        <v>1</v>
      </c>
      <c r="E86" s="7">
        <v>1564</v>
      </c>
    </row>
    <row r="87" spans="2:5" x14ac:dyDescent="0.25">
      <c r="B87" s="7">
        <v>1</v>
      </c>
      <c r="C87" s="7">
        <v>0.05</v>
      </c>
      <c r="D87" s="7">
        <v>0.95</v>
      </c>
      <c r="E87" s="7">
        <v>2754</v>
      </c>
    </row>
    <row r="88" spans="2:5" x14ac:dyDescent="0.25">
      <c r="B88" s="7">
        <v>1</v>
      </c>
      <c r="C88" s="7">
        <v>0.1</v>
      </c>
      <c r="D88" s="7">
        <v>0.9</v>
      </c>
      <c r="E88" s="7">
        <v>1011</v>
      </c>
    </row>
    <row r="89" spans="2:5" x14ac:dyDescent="0.25">
      <c r="B89" s="7">
        <v>0</v>
      </c>
      <c r="C89" s="7">
        <v>1</v>
      </c>
      <c r="D89" s="7">
        <v>0</v>
      </c>
      <c r="E89" s="7">
        <v>435</v>
      </c>
    </row>
    <row r="90" spans="2:5" x14ac:dyDescent="0.25">
      <c r="B90" s="7">
        <v>0</v>
      </c>
      <c r="C90" s="7">
        <v>0.65</v>
      </c>
      <c r="D90" s="7">
        <v>0.35</v>
      </c>
      <c r="E90" s="7">
        <v>795</v>
      </c>
    </row>
    <row r="91" spans="2:5" x14ac:dyDescent="0.25">
      <c r="B91" s="7">
        <v>1</v>
      </c>
      <c r="C91" s="7">
        <v>0</v>
      </c>
      <c r="D91" s="7">
        <v>1</v>
      </c>
      <c r="E91" s="7">
        <v>1064</v>
      </c>
    </row>
    <row r="92" spans="2:5" x14ac:dyDescent="0.25">
      <c r="B92" s="7">
        <v>1</v>
      </c>
      <c r="C92" s="7">
        <v>0</v>
      </c>
      <c r="D92" s="7">
        <v>1</v>
      </c>
      <c r="E92" s="7">
        <v>1307</v>
      </c>
    </row>
    <row r="93" spans="2:5" x14ac:dyDescent="0.25">
      <c r="B93" s="7">
        <v>0</v>
      </c>
      <c r="C93" s="7">
        <v>1</v>
      </c>
      <c r="D93" s="7">
        <v>0</v>
      </c>
      <c r="E93" s="7">
        <v>443</v>
      </c>
    </row>
    <row r="94" spans="2:5" x14ac:dyDescent="0.25">
      <c r="B94" s="7">
        <v>1</v>
      </c>
      <c r="C94" s="7">
        <v>0</v>
      </c>
      <c r="D94" s="7">
        <v>1</v>
      </c>
      <c r="E94" s="7">
        <v>1104</v>
      </c>
    </row>
    <row r="95" spans="2:5" x14ac:dyDescent="0.25">
      <c r="B95" s="7">
        <v>0</v>
      </c>
      <c r="C95" s="7">
        <v>1</v>
      </c>
      <c r="D95" s="7">
        <v>0</v>
      </c>
      <c r="E95" s="7">
        <v>564</v>
      </c>
    </row>
    <row r="96" spans="2:5" x14ac:dyDescent="0.25">
      <c r="B96" s="7">
        <v>1</v>
      </c>
      <c r="C96" s="7">
        <v>0</v>
      </c>
      <c r="D96" s="7">
        <v>1</v>
      </c>
      <c r="E96" s="7">
        <v>1106</v>
      </c>
    </row>
    <row r="97" spans="2:5" x14ac:dyDescent="0.25">
      <c r="B97" s="7">
        <v>0</v>
      </c>
      <c r="C97" s="7">
        <v>1</v>
      </c>
      <c r="D97" s="7">
        <v>0</v>
      </c>
      <c r="E97" s="7">
        <v>305</v>
      </c>
    </row>
    <row r="98" spans="2:5" x14ac:dyDescent="0.25">
      <c r="B98" s="7">
        <v>0</v>
      </c>
      <c r="C98" s="7">
        <v>0.85</v>
      </c>
      <c r="D98" s="7">
        <v>0.15</v>
      </c>
      <c r="E98" s="7">
        <v>660</v>
      </c>
    </row>
    <row r="99" spans="2:5" x14ac:dyDescent="0.25">
      <c r="B99" s="7">
        <v>0</v>
      </c>
      <c r="C99" s="7">
        <v>1</v>
      </c>
      <c r="D99" s="7">
        <v>0</v>
      </c>
      <c r="E99" s="7">
        <v>407</v>
      </c>
    </row>
    <row r="100" spans="2:5" x14ac:dyDescent="0.25">
      <c r="B100" s="7">
        <v>1</v>
      </c>
      <c r="C100" s="7">
        <v>0</v>
      </c>
      <c r="D100" s="7">
        <v>1</v>
      </c>
      <c r="E100" s="7">
        <v>1329</v>
      </c>
    </row>
    <row r="101" spans="2:5" x14ac:dyDescent="0.25">
      <c r="B101" s="7">
        <v>1</v>
      </c>
      <c r="C101" s="7">
        <v>0</v>
      </c>
      <c r="D101" s="7">
        <v>1</v>
      </c>
      <c r="E101" s="7">
        <v>1085</v>
      </c>
    </row>
    <row r="102" spans="2:5" x14ac:dyDescent="0.25">
      <c r="B102" s="7">
        <v>0</v>
      </c>
      <c r="C102" s="7">
        <v>1</v>
      </c>
      <c r="D102" s="7">
        <v>0</v>
      </c>
      <c r="E102" s="7">
        <v>513</v>
      </c>
    </row>
    <row r="103" spans="2:5" x14ac:dyDescent="0.25">
      <c r="B103" s="7">
        <v>0</v>
      </c>
      <c r="C103" s="7">
        <v>1</v>
      </c>
      <c r="D103" s="7">
        <v>0</v>
      </c>
      <c r="E103" s="7">
        <v>429</v>
      </c>
    </row>
    <row r="104" spans="2:5" x14ac:dyDescent="0.25">
      <c r="B104" s="7">
        <v>1</v>
      </c>
      <c r="C104" s="7">
        <v>0</v>
      </c>
      <c r="D104" s="7">
        <v>1</v>
      </c>
      <c r="E104" s="7">
        <v>1327</v>
      </c>
    </row>
    <row r="105" spans="2:5" x14ac:dyDescent="0.25">
      <c r="B105" s="7">
        <v>1</v>
      </c>
      <c r="C105" s="7">
        <v>0.05</v>
      </c>
      <c r="D105" s="7">
        <v>0.95</v>
      </c>
      <c r="E105" s="7">
        <v>1023</v>
      </c>
    </row>
    <row r="106" spans="2:5" x14ac:dyDescent="0.25">
      <c r="B106" s="7">
        <v>0</v>
      </c>
      <c r="C106" s="7">
        <v>1</v>
      </c>
      <c r="D106" s="7">
        <v>0</v>
      </c>
      <c r="E106" s="7">
        <v>94</v>
      </c>
    </row>
    <row r="107" spans="2:5" x14ac:dyDescent="0.25">
      <c r="B107" s="7">
        <v>1</v>
      </c>
      <c r="C107" s="7">
        <v>0.1</v>
      </c>
      <c r="D107" s="7">
        <v>0.9</v>
      </c>
      <c r="E107" s="7">
        <v>988</v>
      </c>
    </row>
    <row r="108" spans="2:5" x14ac:dyDescent="0.25">
      <c r="B108" s="7">
        <v>1</v>
      </c>
      <c r="C108" s="7">
        <v>0</v>
      </c>
      <c r="D108" s="7">
        <v>1</v>
      </c>
      <c r="E108" s="7">
        <v>1323</v>
      </c>
    </row>
    <row r="109" spans="2:5" x14ac:dyDescent="0.25">
      <c r="B109" s="7">
        <v>1</v>
      </c>
      <c r="C109" s="7">
        <v>0</v>
      </c>
      <c r="D109" s="7">
        <v>1</v>
      </c>
      <c r="E109" s="7">
        <v>1050</v>
      </c>
    </row>
    <row r="110" spans="2:5" x14ac:dyDescent="0.25">
      <c r="B110" s="7">
        <v>0</v>
      </c>
      <c r="C110" s="7">
        <v>0.65</v>
      </c>
      <c r="D110" s="7">
        <v>0.35</v>
      </c>
      <c r="E110" s="7">
        <v>794</v>
      </c>
    </row>
    <row r="111" spans="2:5" x14ac:dyDescent="0.25">
      <c r="B111" s="7">
        <v>0</v>
      </c>
      <c r="C111" s="7">
        <v>0.75</v>
      </c>
      <c r="D111" s="7">
        <v>0.25</v>
      </c>
      <c r="E111" s="7">
        <v>769</v>
      </c>
    </row>
    <row r="112" spans="2:5" x14ac:dyDescent="0.25">
      <c r="B112" s="7">
        <v>1</v>
      </c>
      <c r="C112" s="7">
        <v>0.4</v>
      </c>
      <c r="D112" s="7">
        <v>0.6</v>
      </c>
      <c r="E112" s="7">
        <v>834</v>
      </c>
    </row>
    <row r="113" spans="2:5" x14ac:dyDescent="0.25">
      <c r="B113" s="7">
        <v>0</v>
      </c>
      <c r="C113" s="7">
        <v>0.95</v>
      </c>
      <c r="D113" s="7">
        <v>0.05</v>
      </c>
      <c r="E113" s="7">
        <v>603</v>
      </c>
    </row>
    <row r="114" spans="2:5" x14ac:dyDescent="0.25">
      <c r="B114" s="7">
        <v>0</v>
      </c>
      <c r="C114" s="7">
        <v>1</v>
      </c>
      <c r="D114" s="7">
        <v>0</v>
      </c>
      <c r="E114" s="7">
        <v>488</v>
      </c>
    </row>
    <row r="115" spans="2:5" x14ac:dyDescent="0.25">
      <c r="B115" s="7">
        <v>0</v>
      </c>
      <c r="C115" s="7">
        <v>0.95</v>
      </c>
      <c r="D115" s="7">
        <v>0.05</v>
      </c>
      <c r="E115" s="7">
        <v>608</v>
      </c>
    </row>
    <row r="116" spans="2:5" x14ac:dyDescent="0.25">
      <c r="B116" s="7">
        <v>0</v>
      </c>
      <c r="C116" s="7">
        <v>1</v>
      </c>
      <c r="D116" s="7">
        <v>0</v>
      </c>
      <c r="E116" s="7">
        <v>168</v>
      </c>
    </row>
    <row r="117" spans="2:5" x14ac:dyDescent="0.25">
      <c r="B117" s="7">
        <v>1</v>
      </c>
      <c r="C117" s="7">
        <v>0.1</v>
      </c>
      <c r="D117" s="7">
        <v>0.9</v>
      </c>
      <c r="E117" s="7">
        <v>1015</v>
      </c>
    </row>
    <row r="118" spans="2:5" x14ac:dyDescent="0.25">
      <c r="B118" s="7">
        <v>1</v>
      </c>
      <c r="C118" s="7">
        <v>0.05</v>
      </c>
      <c r="D118" s="7">
        <v>0.95</v>
      </c>
      <c r="E118" s="7">
        <v>1203</v>
      </c>
    </row>
    <row r="119" spans="2:5" x14ac:dyDescent="0.25">
      <c r="B119" s="7">
        <v>1</v>
      </c>
      <c r="C119" s="7">
        <v>0</v>
      </c>
      <c r="D119" s="7">
        <v>1</v>
      </c>
      <c r="E119" s="7">
        <v>1418</v>
      </c>
    </row>
    <row r="120" spans="2:5" x14ac:dyDescent="0.25">
      <c r="B120" s="7">
        <v>1</v>
      </c>
      <c r="C120" s="7">
        <v>0</v>
      </c>
      <c r="D120" s="7">
        <v>1</v>
      </c>
      <c r="E120" s="7">
        <v>1439</v>
      </c>
    </row>
    <row r="121" spans="2:5" x14ac:dyDescent="0.25">
      <c r="B121" s="7">
        <v>1</v>
      </c>
      <c r="C121" s="7">
        <v>0.15</v>
      </c>
      <c r="D121" s="7">
        <v>0.85</v>
      </c>
      <c r="E121" s="7">
        <v>934</v>
      </c>
    </row>
    <row r="122" spans="2:5" x14ac:dyDescent="0.25">
      <c r="B122" s="7">
        <v>1</v>
      </c>
      <c r="C122" s="7">
        <v>0.1</v>
      </c>
      <c r="D122" s="7">
        <v>0.9</v>
      </c>
      <c r="E122" s="7">
        <v>1014</v>
      </c>
    </row>
    <row r="123" spans="2:5" x14ac:dyDescent="0.25">
      <c r="B123" s="7">
        <v>1</v>
      </c>
      <c r="C123" s="7">
        <v>0.15</v>
      </c>
      <c r="D123" s="7">
        <v>0.85</v>
      </c>
      <c r="E123" s="7">
        <v>974</v>
      </c>
    </row>
    <row r="124" spans="2:5" x14ac:dyDescent="0.25">
      <c r="B124" s="7">
        <v>1</v>
      </c>
      <c r="C124" s="7">
        <v>0</v>
      </c>
      <c r="D124" s="7">
        <v>1</v>
      </c>
      <c r="E124" s="7">
        <v>1226</v>
      </c>
    </row>
    <row r="125" spans="2:5" x14ac:dyDescent="0.25">
      <c r="B125" s="7">
        <v>0</v>
      </c>
      <c r="C125" s="7">
        <v>0.95</v>
      </c>
      <c r="D125" s="7">
        <v>0.05</v>
      </c>
      <c r="E125" s="7">
        <v>632</v>
      </c>
    </row>
    <row r="126" spans="2:5" x14ac:dyDescent="0.25">
      <c r="B126" s="7">
        <v>1</v>
      </c>
      <c r="C126" s="7">
        <v>0.05</v>
      </c>
      <c r="D126" s="7">
        <v>0.95</v>
      </c>
      <c r="E126" s="7">
        <v>2070</v>
      </c>
    </row>
    <row r="127" spans="2:5" x14ac:dyDescent="0.25">
      <c r="B127" s="7">
        <v>0</v>
      </c>
      <c r="C127" s="7">
        <v>0.65</v>
      </c>
      <c r="D127" s="7">
        <v>0.35</v>
      </c>
      <c r="E127" s="7">
        <v>708</v>
      </c>
    </row>
    <row r="128" spans="2:5" x14ac:dyDescent="0.25">
      <c r="B128" s="7">
        <v>0</v>
      </c>
      <c r="C128" s="7">
        <v>1</v>
      </c>
      <c r="D128" s="7">
        <v>0</v>
      </c>
      <c r="E128" s="7">
        <v>411</v>
      </c>
    </row>
    <row r="129" spans="2:5" x14ac:dyDescent="0.25">
      <c r="B129" s="7">
        <v>1</v>
      </c>
      <c r="C129" s="7">
        <v>0.35</v>
      </c>
      <c r="D129" s="7">
        <v>0.65</v>
      </c>
      <c r="E129" s="7">
        <v>837</v>
      </c>
    </row>
    <row r="130" spans="2:5" x14ac:dyDescent="0.25">
      <c r="B130" s="7">
        <v>1</v>
      </c>
      <c r="C130" s="7">
        <v>0</v>
      </c>
      <c r="D130" s="7">
        <v>1</v>
      </c>
      <c r="E130" s="7">
        <v>1450</v>
      </c>
    </row>
    <row r="131" spans="2:5" x14ac:dyDescent="0.25">
      <c r="B131" s="7">
        <v>1</v>
      </c>
      <c r="C131" s="7">
        <v>0</v>
      </c>
      <c r="D131" s="7">
        <v>1</v>
      </c>
      <c r="E131" s="7">
        <v>1358</v>
      </c>
    </row>
    <row r="132" spans="2:5" x14ac:dyDescent="0.25">
      <c r="B132" s="7">
        <v>1</v>
      </c>
      <c r="C132" s="7">
        <v>0</v>
      </c>
      <c r="D132" s="7">
        <v>1</v>
      </c>
      <c r="E132" s="7">
        <v>1982</v>
      </c>
    </row>
    <row r="133" spans="2:5" x14ac:dyDescent="0.25">
      <c r="B133" s="7">
        <v>1</v>
      </c>
      <c r="C133" s="7">
        <v>0.2</v>
      </c>
      <c r="D133" s="7">
        <v>0.8</v>
      </c>
      <c r="E133" s="7">
        <v>908</v>
      </c>
    </row>
    <row r="134" spans="2:5" x14ac:dyDescent="0.25">
      <c r="B134" s="7">
        <v>1</v>
      </c>
      <c r="C134" s="7">
        <v>0.25</v>
      </c>
      <c r="D134" s="7">
        <v>0.75</v>
      </c>
      <c r="E134" s="7">
        <v>873</v>
      </c>
    </row>
    <row r="135" spans="2:5" x14ac:dyDescent="0.25">
      <c r="B135" s="7">
        <v>1</v>
      </c>
      <c r="C135" s="7">
        <v>0.15</v>
      </c>
      <c r="D135" s="7">
        <v>0.85</v>
      </c>
      <c r="E135" s="7">
        <v>957</v>
      </c>
    </row>
    <row r="136" spans="2:5" x14ac:dyDescent="0.25">
      <c r="B136" s="7">
        <v>1</v>
      </c>
      <c r="C136" s="7">
        <v>0</v>
      </c>
      <c r="D136" s="7">
        <v>1</v>
      </c>
      <c r="E136" s="7">
        <v>1677</v>
      </c>
    </row>
    <row r="137" spans="2:5" x14ac:dyDescent="0.25">
      <c r="B137" s="7">
        <v>0</v>
      </c>
      <c r="C137" s="7">
        <v>1</v>
      </c>
      <c r="D137" s="7">
        <v>0</v>
      </c>
      <c r="E137" s="7">
        <v>582</v>
      </c>
    </row>
    <row r="138" spans="2:5" x14ac:dyDescent="0.25">
      <c r="B138" s="7">
        <v>1</v>
      </c>
      <c r="C138" s="7">
        <v>0.05</v>
      </c>
      <c r="D138" s="7">
        <v>0.95</v>
      </c>
      <c r="E138" s="7">
        <v>1195</v>
      </c>
    </row>
    <row r="139" spans="2:5" x14ac:dyDescent="0.25">
      <c r="B139" s="7">
        <v>0</v>
      </c>
      <c r="C139" s="7">
        <v>0.6</v>
      </c>
      <c r="D139" s="7">
        <v>0.4</v>
      </c>
      <c r="E139" s="7">
        <v>713</v>
      </c>
    </row>
    <row r="140" spans="2:5" x14ac:dyDescent="0.25">
      <c r="B140" s="7">
        <v>1</v>
      </c>
      <c r="C140" s="7">
        <v>0.05</v>
      </c>
      <c r="D140" s="7">
        <v>0.95</v>
      </c>
      <c r="E140" s="7">
        <v>1136</v>
      </c>
    </row>
    <row r="141" spans="2:5" x14ac:dyDescent="0.25">
      <c r="B141" s="7">
        <v>0</v>
      </c>
      <c r="C141" s="7">
        <v>1</v>
      </c>
      <c r="D141" s="7">
        <v>0</v>
      </c>
      <c r="E141" s="7">
        <v>397</v>
      </c>
    </row>
    <row r="142" spans="2:5" x14ac:dyDescent="0.25">
      <c r="B142" s="7">
        <v>1</v>
      </c>
      <c r="C142" s="7">
        <v>0.05</v>
      </c>
      <c r="D142" s="7">
        <v>0.95</v>
      </c>
      <c r="E142" s="7">
        <v>2252</v>
      </c>
    </row>
    <row r="143" spans="2:5" x14ac:dyDescent="0.25">
      <c r="B143" s="7">
        <v>0</v>
      </c>
      <c r="C143" s="7">
        <v>1</v>
      </c>
      <c r="D143" s="7">
        <v>0</v>
      </c>
      <c r="E143" s="7">
        <v>436</v>
      </c>
    </row>
    <row r="144" spans="2:5" x14ac:dyDescent="0.25">
      <c r="B144" s="7">
        <v>0</v>
      </c>
      <c r="C144" s="7">
        <v>1</v>
      </c>
      <c r="D144" s="7">
        <v>0</v>
      </c>
      <c r="E144" s="7">
        <v>449</v>
      </c>
    </row>
    <row r="145" spans="2:5" x14ac:dyDescent="0.25">
      <c r="B145" s="7">
        <v>0</v>
      </c>
      <c r="C145" s="7">
        <v>1</v>
      </c>
      <c r="D145" s="7">
        <v>0</v>
      </c>
      <c r="E145" s="7">
        <v>569</v>
      </c>
    </row>
    <row r="146" spans="2:5" x14ac:dyDescent="0.25">
      <c r="B146" s="7">
        <v>1</v>
      </c>
      <c r="C146" s="7">
        <v>0.05</v>
      </c>
      <c r="D146" s="7">
        <v>0.95</v>
      </c>
      <c r="E146" s="7">
        <v>1135</v>
      </c>
    </row>
    <row r="147" spans="2:5" x14ac:dyDescent="0.25">
      <c r="B147" s="7">
        <v>1</v>
      </c>
      <c r="C147" s="7">
        <v>0</v>
      </c>
      <c r="D147" s="7">
        <v>1</v>
      </c>
      <c r="E147" s="7">
        <v>1108</v>
      </c>
    </row>
    <row r="148" spans="2:5" x14ac:dyDescent="0.25">
      <c r="B148" s="7">
        <v>0</v>
      </c>
      <c r="C148" s="7">
        <v>1</v>
      </c>
      <c r="D148" s="7">
        <v>0</v>
      </c>
      <c r="E148" s="7">
        <v>532</v>
      </c>
    </row>
    <row r="149" spans="2:5" x14ac:dyDescent="0.25">
      <c r="B149" s="7">
        <v>0</v>
      </c>
      <c r="C149" s="7">
        <v>1</v>
      </c>
      <c r="D149" s="7">
        <v>0</v>
      </c>
      <c r="E149" s="7">
        <v>251</v>
      </c>
    </row>
    <row r="150" spans="2:5" x14ac:dyDescent="0.25">
      <c r="B150" s="7">
        <v>1</v>
      </c>
      <c r="C150" s="7">
        <v>0</v>
      </c>
      <c r="D150" s="7">
        <v>1</v>
      </c>
      <c r="E150" s="7">
        <v>1241</v>
      </c>
    </row>
    <row r="151" spans="2:5" x14ac:dyDescent="0.25">
      <c r="B151" s="7">
        <v>0</v>
      </c>
      <c r="C151" s="7">
        <v>1</v>
      </c>
      <c r="D151" s="7">
        <v>0</v>
      </c>
      <c r="E151" s="7">
        <v>254</v>
      </c>
    </row>
    <row r="152" spans="2:5" x14ac:dyDescent="0.25">
      <c r="B152" s="7">
        <v>0</v>
      </c>
      <c r="C152" s="7">
        <v>1</v>
      </c>
      <c r="D152" s="7">
        <v>0</v>
      </c>
      <c r="E152" s="7">
        <v>241</v>
      </c>
    </row>
    <row r="153" spans="2:5" x14ac:dyDescent="0.25">
      <c r="B153" s="7">
        <v>1</v>
      </c>
      <c r="C153" s="7">
        <v>0.4</v>
      </c>
      <c r="D153" s="7">
        <v>0.6</v>
      </c>
      <c r="E153" s="7">
        <v>847</v>
      </c>
    </row>
    <row r="154" spans="2:5" x14ac:dyDescent="0.25">
      <c r="B154" s="7">
        <v>1</v>
      </c>
      <c r="C154" s="7">
        <v>0.05</v>
      </c>
      <c r="D154" s="7">
        <v>0.95</v>
      </c>
      <c r="E154" s="7">
        <v>1033</v>
      </c>
    </row>
    <row r="155" spans="2:5" x14ac:dyDescent="0.25">
      <c r="B155" s="7">
        <v>1</v>
      </c>
      <c r="C155" s="7">
        <v>0.3</v>
      </c>
      <c r="D155" s="7">
        <v>0.7</v>
      </c>
      <c r="E155" s="7">
        <v>883</v>
      </c>
    </row>
    <row r="156" spans="2:5" x14ac:dyDescent="0.25">
      <c r="B156" s="7">
        <v>1</v>
      </c>
      <c r="C156" s="7">
        <v>0.4</v>
      </c>
      <c r="D156" s="7">
        <v>0.6</v>
      </c>
      <c r="E156" s="7">
        <v>834</v>
      </c>
    </row>
    <row r="157" spans="2:5" x14ac:dyDescent="0.25">
      <c r="B157" s="7">
        <v>1</v>
      </c>
      <c r="C157" s="7">
        <v>0.15</v>
      </c>
      <c r="D157" s="7">
        <v>0.85</v>
      </c>
      <c r="E157" s="7">
        <v>986</v>
      </c>
    </row>
    <row r="158" spans="2:5" x14ac:dyDescent="0.25">
      <c r="B158" s="7">
        <v>1</v>
      </c>
      <c r="C158" s="7">
        <v>0.3</v>
      </c>
      <c r="D158" s="7">
        <v>0.7</v>
      </c>
      <c r="E158" s="7">
        <v>879</v>
      </c>
    </row>
    <row r="159" spans="2:5" x14ac:dyDescent="0.25">
      <c r="B159" s="7">
        <v>1</v>
      </c>
      <c r="C159" s="7">
        <v>0</v>
      </c>
      <c r="D159" s="7">
        <v>1</v>
      </c>
      <c r="E159" s="7">
        <v>1876</v>
      </c>
    </row>
    <row r="160" spans="2:5" x14ac:dyDescent="0.25">
      <c r="B160" s="7">
        <v>0</v>
      </c>
      <c r="C160" s="7">
        <v>0.6</v>
      </c>
      <c r="D160" s="7">
        <v>0.4</v>
      </c>
      <c r="E160" s="7">
        <v>825</v>
      </c>
    </row>
    <row r="161" spans="2:5" x14ac:dyDescent="0.25">
      <c r="B161" s="7">
        <v>0</v>
      </c>
      <c r="C161" s="7">
        <v>0.75</v>
      </c>
      <c r="D161" s="7">
        <v>0.25</v>
      </c>
      <c r="E161" s="7">
        <v>752</v>
      </c>
    </row>
    <row r="162" spans="2:5" x14ac:dyDescent="0.25">
      <c r="B162" s="7">
        <v>1</v>
      </c>
      <c r="C162" s="7">
        <v>0</v>
      </c>
      <c r="D162" s="7">
        <v>1</v>
      </c>
      <c r="E162" s="7">
        <v>1317</v>
      </c>
    </row>
    <row r="163" spans="2:5" x14ac:dyDescent="0.25">
      <c r="B163" s="7">
        <v>0</v>
      </c>
      <c r="C163" s="7">
        <v>0.85</v>
      </c>
      <c r="D163" s="7">
        <v>0.15</v>
      </c>
      <c r="E163" s="7">
        <v>656</v>
      </c>
    </row>
    <row r="164" spans="2:5" x14ac:dyDescent="0.25">
      <c r="B164" s="7">
        <v>1</v>
      </c>
      <c r="C164" s="7">
        <v>0</v>
      </c>
      <c r="D164" s="7">
        <v>1</v>
      </c>
      <c r="E164" s="7">
        <v>1717</v>
      </c>
    </row>
    <row r="165" spans="2:5" x14ac:dyDescent="0.25">
      <c r="B165" s="7">
        <v>1</v>
      </c>
      <c r="C165" s="7">
        <v>0</v>
      </c>
      <c r="D165" s="7">
        <v>1</v>
      </c>
      <c r="E165" s="7">
        <v>1382</v>
      </c>
    </row>
    <row r="166" spans="2:5" x14ac:dyDescent="0.25">
      <c r="B166" s="7">
        <v>1</v>
      </c>
      <c r="C166" s="7">
        <v>0</v>
      </c>
      <c r="D166" s="7">
        <v>1</v>
      </c>
      <c r="E166" s="7">
        <v>1359</v>
      </c>
    </row>
    <row r="167" spans="2:5" x14ac:dyDescent="0.25">
      <c r="B167" s="7">
        <v>1</v>
      </c>
      <c r="C167" s="7">
        <v>0</v>
      </c>
      <c r="D167" s="7">
        <v>1</v>
      </c>
      <c r="E167" s="7">
        <v>1420</v>
      </c>
    </row>
    <row r="168" spans="2:5" x14ac:dyDescent="0.25">
      <c r="B168" s="7">
        <v>0</v>
      </c>
      <c r="C168" s="7">
        <v>0.8</v>
      </c>
      <c r="D168" s="7">
        <v>0.2</v>
      </c>
      <c r="E168" s="7">
        <v>749</v>
      </c>
    </row>
    <row r="169" spans="2:5" x14ac:dyDescent="0.25">
      <c r="B169" s="7">
        <v>0</v>
      </c>
      <c r="C169" s="7">
        <v>1</v>
      </c>
      <c r="D169" s="7">
        <v>0</v>
      </c>
      <c r="E169" s="7">
        <v>557</v>
      </c>
    </row>
    <row r="170" spans="2:5" x14ac:dyDescent="0.25">
      <c r="B170" s="7">
        <v>0</v>
      </c>
      <c r="C170" s="7">
        <v>1</v>
      </c>
      <c r="D170" s="7">
        <v>0</v>
      </c>
      <c r="E170" s="7">
        <v>472</v>
      </c>
    </row>
    <row r="171" spans="2:5" x14ac:dyDescent="0.25">
      <c r="B171" s="7">
        <v>0</v>
      </c>
      <c r="C171" s="7">
        <v>1</v>
      </c>
      <c r="D171" s="7">
        <v>0</v>
      </c>
      <c r="E171" s="7">
        <v>461</v>
      </c>
    </row>
    <row r="172" spans="2:5" x14ac:dyDescent="0.25">
      <c r="B172" s="7">
        <v>0</v>
      </c>
      <c r="C172" s="7">
        <v>1</v>
      </c>
      <c r="D172" s="7">
        <v>0</v>
      </c>
      <c r="E172" s="7">
        <v>114</v>
      </c>
    </row>
    <row r="173" spans="2:5" x14ac:dyDescent="0.25">
      <c r="B173" s="7">
        <v>0</v>
      </c>
      <c r="C173" s="7">
        <v>0.75</v>
      </c>
      <c r="D173" s="7">
        <v>0.25</v>
      </c>
      <c r="E173" s="7">
        <v>691</v>
      </c>
    </row>
    <row r="174" spans="2:5" x14ac:dyDescent="0.25">
      <c r="B174" s="7">
        <v>1</v>
      </c>
      <c r="C174" s="7">
        <v>0.15</v>
      </c>
      <c r="D174" s="7">
        <v>0.85</v>
      </c>
      <c r="E174" s="7">
        <v>984</v>
      </c>
    </row>
    <row r="175" spans="2:5" x14ac:dyDescent="0.25">
      <c r="B175" s="7">
        <v>0</v>
      </c>
      <c r="C175" s="7">
        <v>1</v>
      </c>
      <c r="D175" s="7">
        <v>0</v>
      </c>
      <c r="E175" s="7">
        <v>399</v>
      </c>
    </row>
    <row r="176" spans="2:5" x14ac:dyDescent="0.25">
      <c r="B176" s="7">
        <v>0</v>
      </c>
      <c r="C176" s="7">
        <v>1</v>
      </c>
      <c r="D176" s="7">
        <v>0</v>
      </c>
      <c r="E176" s="7">
        <v>563</v>
      </c>
    </row>
    <row r="177" spans="2:5" x14ac:dyDescent="0.25">
      <c r="B177" s="7">
        <v>1</v>
      </c>
      <c r="C177" s="7">
        <v>0</v>
      </c>
      <c r="D177" s="7">
        <v>1</v>
      </c>
      <c r="E177" s="7">
        <v>1101</v>
      </c>
    </row>
    <row r="178" spans="2:5" x14ac:dyDescent="0.25">
      <c r="B178" s="7">
        <v>0</v>
      </c>
      <c r="C178" s="7">
        <v>1</v>
      </c>
      <c r="D178" s="7">
        <v>0</v>
      </c>
      <c r="E178" s="7">
        <v>427</v>
      </c>
    </row>
    <row r="179" spans="2:5" x14ac:dyDescent="0.25">
      <c r="B179" s="7">
        <v>1</v>
      </c>
      <c r="C179" s="7">
        <v>0</v>
      </c>
      <c r="D179" s="7">
        <v>1</v>
      </c>
      <c r="E179" s="7">
        <v>1308</v>
      </c>
    </row>
    <row r="180" spans="2:5" x14ac:dyDescent="0.25">
      <c r="B180" s="7">
        <v>0</v>
      </c>
      <c r="C180" s="7">
        <v>1</v>
      </c>
      <c r="D180" s="7">
        <v>0</v>
      </c>
      <c r="E180" s="7">
        <v>196</v>
      </c>
    </row>
    <row r="181" spans="2:5" x14ac:dyDescent="0.25">
      <c r="B181" s="7">
        <v>1</v>
      </c>
      <c r="C181" s="7">
        <v>0</v>
      </c>
      <c r="D181" s="7">
        <v>1</v>
      </c>
      <c r="E181" s="7">
        <v>1096</v>
      </c>
    </row>
    <row r="182" spans="2:5" x14ac:dyDescent="0.25">
      <c r="B182" s="7">
        <v>0</v>
      </c>
      <c r="C182" s="7">
        <v>1</v>
      </c>
      <c r="D182" s="7">
        <v>0</v>
      </c>
      <c r="E182" s="7">
        <v>470</v>
      </c>
    </row>
    <row r="183" spans="2:5" x14ac:dyDescent="0.25">
      <c r="B183" s="7">
        <v>0</v>
      </c>
      <c r="C183" s="7">
        <v>1</v>
      </c>
      <c r="D183" s="7">
        <v>0</v>
      </c>
      <c r="E183" s="7">
        <v>499</v>
      </c>
    </row>
    <row r="184" spans="2:5" x14ac:dyDescent="0.25">
      <c r="B184" s="7">
        <v>0</v>
      </c>
      <c r="C184" s="7">
        <v>0.6</v>
      </c>
      <c r="D184" s="7">
        <v>0.4</v>
      </c>
      <c r="E184" s="7">
        <v>720</v>
      </c>
    </row>
    <row r="185" spans="2:5" x14ac:dyDescent="0.25">
      <c r="B185" s="7">
        <v>1</v>
      </c>
      <c r="C185" s="7">
        <v>0</v>
      </c>
      <c r="D185" s="7">
        <v>1</v>
      </c>
      <c r="E185" s="7">
        <v>1282</v>
      </c>
    </row>
    <row r="186" spans="2:5" x14ac:dyDescent="0.25">
      <c r="B186" s="7">
        <v>1</v>
      </c>
      <c r="C186" s="7">
        <v>0</v>
      </c>
      <c r="D186" s="7">
        <v>1</v>
      </c>
      <c r="E186" s="7">
        <v>1095</v>
      </c>
    </row>
    <row r="187" spans="2:5" x14ac:dyDescent="0.25">
      <c r="B187" s="7">
        <v>0</v>
      </c>
      <c r="C187" s="7">
        <v>1</v>
      </c>
      <c r="D187" s="7">
        <v>0</v>
      </c>
      <c r="E187" s="7">
        <v>473</v>
      </c>
    </row>
    <row r="188" spans="2:5" x14ac:dyDescent="0.25">
      <c r="B188" s="7">
        <v>0</v>
      </c>
      <c r="C188" s="7">
        <v>0.95</v>
      </c>
      <c r="D188" s="7">
        <v>0.05</v>
      </c>
      <c r="E188" s="7">
        <v>612</v>
      </c>
    </row>
    <row r="189" spans="2:5" x14ac:dyDescent="0.25">
      <c r="B189" s="7">
        <v>0</v>
      </c>
      <c r="C189" s="7">
        <v>0.75</v>
      </c>
      <c r="D189" s="7">
        <v>0.25</v>
      </c>
      <c r="E189" s="7">
        <v>737</v>
      </c>
    </row>
    <row r="190" spans="2:5" x14ac:dyDescent="0.25">
      <c r="B190" s="7">
        <v>0</v>
      </c>
      <c r="C190" s="7">
        <v>1</v>
      </c>
      <c r="D190" s="7">
        <v>0</v>
      </c>
      <c r="E190" s="7">
        <v>572</v>
      </c>
    </row>
    <row r="191" spans="2:5" x14ac:dyDescent="0.25">
      <c r="B191" s="7">
        <v>0</v>
      </c>
      <c r="C191" s="7">
        <v>1</v>
      </c>
      <c r="D191" s="7">
        <v>0</v>
      </c>
      <c r="E191" s="7">
        <v>251</v>
      </c>
    </row>
    <row r="192" spans="2:5" x14ac:dyDescent="0.25">
      <c r="B192" s="7">
        <v>1</v>
      </c>
      <c r="C192" s="7">
        <v>0.3</v>
      </c>
      <c r="D192" s="7">
        <v>0.7</v>
      </c>
      <c r="E192" s="7">
        <v>884</v>
      </c>
    </row>
    <row r="193" spans="2:5" x14ac:dyDescent="0.25">
      <c r="B193" s="7">
        <v>0</v>
      </c>
      <c r="C193" s="7">
        <v>0.95</v>
      </c>
      <c r="D193" s="7">
        <v>0.05</v>
      </c>
      <c r="E193" s="7">
        <v>611</v>
      </c>
    </row>
    <row r="194" spans="2:5" x14ac:dyDescent="0.25">
      <c r="B194" s="7">
        <v>1</v>
      </c>
      <c r="C194" s="7">
        <v>0</v>
      </c>
      <c r="D194" s="7">
        <v>1</v>
      </c>
      <c r="E194" s="7">
        <v>1316</v>
      </c>
    </row>
    <row r="195" spans="2:5" x14ac:dyDescent="0.25">
      <c r="B195" s="7">
        <v>0</v>
      </c>
      <c r="C195" s="7">
        <v>0.6</v>
      </c>
      <c r="D195" s="7">
        <v>0.4</v>
      </c>
      <c r="E195" s="7">
        <v>722</v>
      </c>
    </row>
    <row r="196" spans="2:5" x14ac:dyDescent="0.25">
      <c r="B196" s="7">
        <v>1</v>
      </c>
      <c r="C196" s="7">
        <v>0</v>
      </c>
      <c r="D196" s="7">
        <v>1</v>
      </c>
      <c r="E196" s="7">
        <v>1267</v>
      </c>
    </row>
    <row r="197" spans="2:5" x14ac:dyDescent="0.25">
      <c r="B197" s="7">
        <v>0</v>
      </c>
      <c r="C197" s="7">
        <v>1</v>
      </c>
      <c r="D197" s="7">
        <v>0</v>
      </c>
      <c r="E197" s="7">
        <v>256</v>
      </c>
    </row>
    <row r="198" spans="2:5" x14ac:dyDescent="0.25">
      <c r="B198" s="7">
        <v>1</v>
      </c>
      <c r="C198" s="7">
        <v>0.05</v>
      </c>
      <c r="D198" s="7">
        <v>0.95</v>
      </c>
      <c r="E198" s="7">
        <v>1207</v>
      </c>
    </row>
    <row r="199" spans="2:5" x14ac:dyDescent="0.25">
      <c r="B199" s="7">
        <v>0</v>
      </c>
      <c r="C199" s="7">
        <v>1</v>
      </c>
      <c r="D199" s="7">
        <v>0</v>
      </c>
      <c r="E199" s="7">
        <v>493</v>
      </c>
    </row>
    <row r="200" spans="2:5" x14ac:dyDescent="0.25">
      <c r="B200" s="7">
        <v>0</v>
      </c>
      <c r="C200" s="7">
        <v>1</v>
      </c>
      <c r="D200" s="7">
        <v>0</v>
      </c>
      <c r="E200" s="7">
        <v>275</v>
      </c>
    </row>
    <row r="201" spans="2:5" x14ac:dyDescent="0.25">
      <c r="B201" s="7">
        <v>0</v>
      </c>
      <c r="C201" s="7">
        <v>0.7</v>
      </c>
      <c r="D201" s="7">
        <v>0.3</v>
      </c>
      <c r="E201" s="7">
        <v>694</v>
      </c>
    </row>
    <row r="202" spans="2:5" x14ac:dyDescent="0.25">
      <c r="B202" s="7">
        <v>1</v>
      </c>
      <c r="C202" s="7">
        <v>0</v>
      </c>
      <c r="D202" s="7">
        <v>1</v>
      </c>
      <c r="E202" s="7">
        <v>1078</v>
      </c>
    </row>
    <row r="203" spans="2:5" x14ac:dyDescent="0.25">
      <c r="B203" s="7">
        <v>0</v>
      </c>
      <c r="C203" s="7">
        <v>0.6</v>
      </c>
      <c r="D203" s="7">
        <v>0.4</v>
      </c>
      <c r="E203" s="7">
        <v>701</v>
      </c>
    </row>
    <row r="204" spans="2:5" x14ac:dyDescent="0.25">
      <c r="B204" s="7">
        <v>1</v>
      </c>
      <c r="C204" s="7">
        <v>0</v>
      </c>
      <c r="D204" s="7">
        <v>1</v>
      </c>
      <c r="E204" s="7">
        <v>1220</v>
      </c>
    </row>
    <row r="205" spans="2:5" x14ac:dyDescent="0.25">
      <c r="B205" s="7">
        <v>1</v>
      </c>
      <c r="C205" s="7">
        <v>0</v>
      </c>
      <c r="D205" s="7">
        <v>1</v>
      </c>
      <c r="E205" s="7">
        <v>1295</v>
      </c>
    </row>
    <row r="206" spans="2:5" x14ac:dyDescent="0.25">
      <c r="B206" s="7">
        <v>1</v>
      </c>
      <c r="C206" s="7">
        <v>0.05</v>
      </c>
      <c r="D206" s="7">
        <v>0.95</v>
      </c>
      <c r="E206" s="7">
        <v>1193</v>
      </c>
    </row>
    <row r="207" spans="2:5" x14ac:dyDescent="0.25">
      <c r="B207" s="7">
        <v>1</v>
      </c>
      <c r="C207" s="7">
        <v>0.1</v>
      </c>
      <c r="D207" s="7">
        <v>0.9</v>
      </c>
      <c r="E207" s="7">
        <v>963</v>
      </c>
    </row>
    <row r="208" spans="2:5" x14ac:dyDescent="0.25">
      <c r="B208" s="7">
        <v>1</v>
      </c>
      <c r="C208" s="7">
        <v>0.1</v>
      </c>
      <c r="D208" s="7">
        <v>0.9</v>
      </c>
      <c r="E208" s="7">
        <v>963</v>
      </c>
    </row>
    <row r="209" spans="2:5" x14ac:dyDescent="0.25">
      <c r="B209" s="7">
        <v>1</v>
      </c>
      <c r="C209" s="7">
        <v>0</v>
      </c>
      <c r="D209" s="7">
        <v>1</v>
      </c>
      <c r="E209" s="7">
        <v>1069</v>
      </c>
    </row>
    <row r="210" spans="2:5" x14ac:dyDescent="0.25">
      <c r="B210" s="7">
        <v>1</v>
      </c>
      <c r="C210" s="7">
        <v>0</v>
      </c>
      <c r="D210" s="7">
        <v>1</v>
      </c>
      <c r="E210" s="7">
        <v>1070</v>
      </c>
    </row>
    <row r="211" spans="2:5" x14ac:dyDescent="0.25">
      <c r="B211" s="7">
        <v>0</v>
      </c>
      <c r="C211" s="7">
        <v>1</v>
      </c>
      <c r="D211" s="7">
        <v>0</v>
      </c>
      <c r="E211" s="7">
        <v>173</v>
      </c>
    </row>
    <row r="212" spans="2:5" x14ac:dyDescent="0.25">
      <c r="B212" s="7">
        <v>0</v>
      </c>
      <c r="C212" s="7">
        <v>1</v>
      </c>
      <c r="D212" s="7">
        <v>0</v>
      </c>
      <c r="E212" s="7">
        <v>329</v>
      </c>
    </row>
    <row r="213" spans="2:5" x14ac:dyDescent="0.25">
      <c r="B213" s="7">
        <v>1</v>
      </c>
      <c r="C213" s="7">
        <v>0</v>
      </c>
      <c r="D213" s="7">
        <v>1</v>
      </c>
      <c r="E213" s="7">
        <v>1261</v>
      </c>
    </row>
    <row r="214" spans="2:5" x14ac:dyDescent="0.25">
      <c r="B214" s="7">
        <v>0</v>
      </c>
      <c r="C214" s="7">
        <v>0.95</v>
      </c>
      <c r="D214" s="7">
        <v>0.05</v>
      </c>
      <c r="E214" s="7">
        <v>358</v>
      </c>
    </row>
    <row r="215" spans="2:5" x14ac:dyDescent="0.25">
      <c r="B215" s="7">
        <v>0</v>
      </c>
      <c r="C215" s="7">
        <v>0.75</v>
      </c>
      <c r="D215" s="7">
        <v>0.25</v>
      </c>
      <c r="E215" s="7">
        <v>665</v>
      </c>
    </row>
    <row r="216" spans="2:5" x14ac:dyDescent="0.25">
      <c r="B216" s="7">
        <v>1</v>
      </c>
      <c r="C216" s="7">
        <v>0.05</v>
      </c>
      <c r="D216" s="7">
        <v>0.95</v>
      </c>
      <c r="E216" s="7">
        <v>1179</v>
      </c>
    </row>
  </sheetData>
  <mergeCells count="15">
    <mergeCell ref="B4:K4"/>
    <mergeCell ref="N4:Q4"/>
    <mergeCell ref="H5:I5"/>
    <mergeCell ref="J5:K5"/>
    <mergeCell ref="B6:C6"/>
    <mergeCell ref="D6:E6"/>
    <mergeCell ref="F6:G6"/>
    <mergeCell ref="H6:I6"/>
    <mergeCell ref="J6:K6"/>
    <mergeCell ref="C12:F12"/>
    <mergeCell ref="C13:F13"/>
    <mergeCell ref="C14:F14"/>
    <mergeCell ref="B5:C5"/>
    <mergeCell ref="D5:E5"/>
    <mergeCell ref="F5:G5"/>
  </mergeCells>
  <hyperlinks>
    <hyperlink ref="B5" location="'KNNC_NewScore'!$B$12:$B$12" display="New Data Detail Rpt."/>
    <hyperlink ref="D5" location="'KNNC_Output'!$B$12:$B$12" display="Inputs"/>
    <hyperlink ref="F5" location="'KNNC_Output'!$B$41:$B$41" display="Prior Class Prob."/>
    <hyperlink ref="H5" location="'KNNC_Output'!$B$50:$B$50" display="Valid. Error Log"/>
    <hyperlink ref="J5" location="'KNNC_Output'!$B$75:$B$75" display="Train. Score - Summary"/>
    <hyperlink ref="B6" location="'KNNC_Output'!$B$99:$B$99" display="Valid. Score - Summary"/>
    <hyperlink ref="D6" location="'KNNC_TrainingLiftChart'!$B$12:$B$12" display="Training Lift Chart"/>
    <hyperlink ref="F6" location="'KNNC_ValidationLiftChart'!$B$12:$B$12" display="Validation Lift Char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3"/>
  <sheetViews>
    <sheetView showGridLines="0" workbookViewId="0"/>
  </sheetViews>
  <sheetFormatPr defaultRowHeight="15.75" x14ac:dyDescent="0.25"/>
  <cols>
    <col min="2" max="2" width="23" bestFit="1" customWidth="1"/>
    <col min="3" max="3" width="29.625" bestFit="1" customWidth="1"/>
  </cols>
  <sheetData>
    <row r="2" spans="2:14" x14ac:dyDescent="0.25">
      <c r="N2" t="s">
        <v>24</v>
      </c>
    </row>
    <row r="3" spans="2:14" x14ac:dyDescent="0.25">
      <c r="B3" s="9" t="s">
        <v>25</v>
      </c>
      <c r="C3" s="7" t="s">
        <v>26</v>
      </c>
      <c r="E3" s="9" t="s">
        <v>27</v>
      </c>
      <c r="F3" s="7" t="s">
        <v>0</v>
      </c>
      <c r="G3" s="7" t="s">
        <v>2</v>
      </c>
    </row>
    <row r="4" spans="2:14" x14ac:dyDescent="0.25">
      <c r="B4" s="9" t="s">
        <v>28</v>
      </c>
      <c r="C4" s="7">
        <v>2</v>
      </c>
      <c r="E4" s="9" t="s">
        <v>29</v>
      </c>
      <c r="F4" s="7" t="s">
        <v>30</v>
      </c>
      <c r="G4" s="7" t="s">
        <v>31</v>
      </c>
    </row>
    <row r="5" spans="2:14" x14ac:dyDescent="0.25">
      <c r="B5" s="9" t="s">
        <v>32</v>
      </c>
      <c r="C5" s="7" t="b">
        <v>1</v>
      </c>
    </row>
    <row r="6" spans="2:14" x14ac:dyDescent="0.25">
      <c r="B6" s="9" t="s">
        <v>33</v>
      </c>
      <c r="C6" s="7">
        <v>20</v>
      </c>
    </row>
    <row r="7" spans="2:14" x14ac:dyDescent="0.25">
      <c r="B7" s="9" t="s">
        <v>34</v>
      </c>
      <c r="C7" s="7">
        <v>17</v>
      </c>
      <c r="F7" s="10" t="s">
        <v>35</v>
      </c>
      <c r="G7" s="10" t="s">
        <v>36</v>
      </c>
    </row>
    <row r="8" spans="2:14" x14ac:dyDescent="0.25">
      <c r="B8" s="9" t="s">
        <v>13</v>
      </c>
      <c r="C8" s="7" t="s">
        <v>37</v>
      </c>
      <c r="F8" s="7">
        <v>0</v>
      </c>
      <c r="G8" s="7" t="s">
        <v>38</v>
      </c>
    </row>
    <row r="9" spans="2:14" x14ac:dyDescent="0.25">
      <c r="B9" s="9" t="s">
        <v>39</v>
      </c>
      <c r="C9" s="7" t="s">
        <v>40</v>
      </c>
      <c r="F9" s="7">
        <v>1</v>
      </c>
      <c r="G9" s="7" t="s">
        <v>38</v>
      </c>
    </row>
    <row r="10" spans="2:14" x14ac:dyDescent="0.25">
      <c r="B10" s="9" t="s">
        <v>41</v>
      </c>
      <c r="C10" s="7" t="s">
        <v>42</v>
      </c>
    </row>
    <row r="11" spans="2:14" x14ac:dyDescent="0.25">
      <c r="B11" s="9" t="s">
        <v>43</v>
      </c>
      <c r="C11" s="7" t="s">
        <v>44</v>
      </c>
      <c r="F11" s="7">
        <v>709.78000000000009</v>
      </c>
    </row>
    <row r="12" spans="2:14" x14ac:dyDescent="0.25">
      <c r="B12" s="9" t="s">
        <v>45</v>
      </c>
      <c r="C12" s="7" t="s">
        <v>46</v>
      </c>
      <c r="F12" s="7">
        <v>401.68338797319285</v>
      </c>
    </row>
    <row r="13" spans="2:14" x14ac:dyDescent="0.25">
      <c r="B13" s="9" t="s">
        <v>47</v>
      </c>
      <c r="C13" s="7">
        <v>2</v>
      </c>
      <c r="F13" s="10" t="s">
        <v>0</v>
      </c>
      <c r="G13" s="10" t="s">
        <v>2</v>
      </c>
    </row>
    <row r="14" spans="2:14" x14ac:dyDescent="0.25">
      <c r="B14" s="9" t="s">
        <v>48</v>
      </c>
      <c r="C14" s="7">
        <v>1</v>
      </c>
      <c r="F14" s="7">
        <v>-1.4632917805384245</v>
      </c>
      <c r="G14" s="7">
        <v>0</v>
      </c>
    </row>
    <row r="15" spans="2:14" x14ac:dyDescent="0.25">
      <c r="B15" s="9" t="s">
        <v>49</v>
      </c>
      <c r="C15" s="7">
        <v>1</v>
      </c>
      <c r="F15" s="7">
        <v>-1.0475414532902756</v>
      </c>
      <c r="G15" s="7">
        <v>0</v>
      </c>
    </row>
    <row r="16" spans="2:14" x14ac:dyDescent="0.25">
      <c r="B16" s="9" t="s">
        <v>50</v>
      </c>
      <c r="C16" s="7">
        <v>0.5</v>
      </c>
      <c r="F16" s="7">
        <v>-0.85833771154860328</v>
      </c>
      <c r="G16" s="7">
        <v>1</v>
      </c>
    </row>
    <row r="17" spans="2:7" x14ac:dyDescent="0.25">
      <c r="B17" s="9" t="s">
        <v>51</v>
      </c>
      <c r="C17" s="7" t="s">
        <v>52</v>
      </c>
      <c r="F17" s="7">
        <v>-0.77618345526603494</v>
      </c>
      <c r="G17" s="7">
        <v>0</v>
      </c>
    </row>
    <row r="18" spans="2:7" x14ac:dyDescent="0.25">
      <c r="B18" s="9" t="s">
        <v>53</v>
      </c>
      <c r="C18" s="7" t="s">
        <v>54</v>
      </c>
      <c r="F18" s="7">
        <v>-0.74879870317184549</v>
      </c>
      <c r="G18" s="7">
        <v>0</v>
      </c>
    </row>
    <row r="19" spans="2:7" x14ac:dyDescent="0.25">
      <c r="F19" s="7">
        <v>-0.54465782392425155</v>
      </c>
      <c r="G19" s="7">
        <v>0</v>
      </c>
    </row>
    <row r="20" spans="2:7" x14ac:dyDescent="0.25">
      <c r="F20" s="7">
        <v>-0.46250356764168321</v>
      </c>
      <c r="G20" s="7">
        <v>0</v>
      </c>
    </row>
    <row r="21" spans="2:7" x14ac:dyDescent="0.25">
      <c r="F21" s="7">
        <v>-0.34051694467665755</v>
      </c>
      <c r="G21" s="7">
        <v>0</v>
      </c>
    </row>
    <row r="22" spans="2:7" x14ac:dyDescent="0.25">
      <c r="F22" s="7">
        <v>-0.23097793629989982</v>
      </c>
      <c r="G22" s="7">
        <v>0</v>
      </c>
    </row>
    <row r="23" spans="2:7" x14ac:dyDescent="0.25">
      <c r="F23" s="7">
        <v>-0.2035931842057104</v>
      </c>
      <c r="G23" s="7">
        <v>0</v>
      </c>
    </row>
    <row r="24" spans="2:7" x14ac:dyDescent="0.25">
      <c r="F24" s="7">
        <v>-0.14384463418202437</v>
      </c>
      <c r="G24" s="7">
        <v>0</v>
      </c>
    </row>
    <row r="25" spans="2:7" x14ac:dyDescent="0.25">
      <c r="F25" s="7">
        <v>-9.9033221664259818E-2</v>
      </c>
      <c r="G25" s="7">
        <v>0</v>
      </c>
    </row>
    <row r="26" spans="2:7" x14ac:dyDescent="0.25">
      <c r="F26" s="7">
        <v>-8.9075129993645488E-2</v>
      </c>
      <c r="G26" s="7">
        <v>1</v>
      </c>
    </row>
    <row r="27" spans="2:7" x14ac:dyDescent="0.25">
      <c r="F27" s="7">
        <v>-7.4137992487723972E-2</v>
      </c>
      <c r="G27" s="7">
        <v>0</v>
      </c>
    </row>
    <row r="28" spans="2:7" x14ac:dyDescent="0.25">
      <c r="F28" s="7">
        <v>-6.1690377899456049E-2</v>
      </c>
      <c r="G28" s="7">
        <v>1</v>
      </c>
    </row>
    <row r="29" spans="2:7" x14ac:dyDescent="0.25">
      <c r="F29" s="7">
        <v>-2.9326579969959445E-2</v>
      </c>
      <c r="G29" s="7">
        <v>0</v>
      </c>
    </row>
    <row r="30" spans="2:7" x14ac:dyDescent="0.25">
      <c r="F30" s="7">
        <v>4.0380061724340929E-2</v>
      </c>
      <c r="G30" s="7">
        <v>1</v>
      </c>
    </row>
    <row r="31" spans="2:7" x14ac:dyDescent="0.25">
      <c r="F31" s="7">
        <v>0.16485620760702019</v>
      </c>
      <c r="G31" s="7">
        <v>0</v>
      </c>
    </row>
    <row r="32" spans="2:7" x14ac:dyDescent="0.25">
      <c r="F32" s="7">
        <v>0.16983525344232736</v>
      </c>
      <c r="G32" s="7">
        <v>1</v>
      </c>
    </row>
    <row r="33" spans="6:7" x14ac:dyDescent="0.25">
      <c r="F33" s="7">
        <v>0.24949998680724206</v>
      </c>
      <c r="G33" s="7">
        <v>1</v>
      </c>
    </row>
    <row r="34" spans="6:7" x14ac:dyDescent="0.25">
      <c r="F34" s="7">
        <v>0.66027126822008364</v>
      </c>
      <c r="G34" s="7">
        <v>1</v>
      </c>
    </row>
    <row r="35" spans="6:7" x14ac:dyDescent="0.25">
      <c r="F35" s="7">
        <v>0.74989409325561263</v>
      </c>
      <c r="G35" s="7">
        <v>1</v>
      </c>
    </row>
    <row r="36" spans="6:7" x14ac:dyDescent="0.25">
      <c r="F36" s="7">
        <v>0.76981027659684131</v>
      </c>
      <c r="G36" s="7">
        <v>1</v>
      </c>
    </row>
    <row r="37" spans="6:7" x14ac:dyDescent="0.25">
      <c r="F37" s="7">
        <v>0.81462168911460586</v>
      </c>
      <c r="G37" s="7">
        <v>1</v>
      </c>
    </row>
    <row r="38" spans="6:7" x14ac:dyDescent="0.25">
      <c r="F38" s="7">
        <v>1.143238714244879</v>
      </c>
      <c r="G38" s="7">
        <v>0</v>
      </c>
    </row>
    <row r="39" spans="6:7" x14ac:dyDescent="0.25">
      <c r="F39" s="7">
        <v>1.9846974604117908</v>
      </c>
      <c r="G39" s="7">
        <v>1</v>
      </c>
    </row>
    <row r="40" spans="6:7" x14ac:dyDescent="0.25">
      <c r="F40" s="7">
        <v>2.8261562065787023</v>
      </c>
      <c r="G40" s="7">
        <v>1</v>
      </c>
    </row>
    <row r="41" spans="6:7" x14ac:dyDescent="0.25">
      <c r="F41" s="7">
        <v>4.4518146718064928</v>
      </c>
      <c r="G41" s="7">
        <v>0</v>
      </c>
    </row>
    <row r="42" spans="6:7" x14ac:dyDescent="0.25">
      <c r="F42" s="7">
        <v>-0.66913396980693074</v>
      </c>
      <c r="G42" s="7">
        <v>0</v>
      </c>
    </row>
    <row r="43" spans="6:7" x14ac:dyDescent="0.25">
      <c r="F43" s="7">
        <v>0.20717809720713112</v>
      </c>
      <c r="G43" s="7">
        <v>1</v>
      </c>
    </row>
    <row r="44" spans="6:7" x14ac:dyDescent="0.25">
      <c r="F44" s="7">
        <v>-0.79361011568961004</v>
      </c>
      <c r="G44" s="7">
        <v>0</v>
      </c>
    </row>
    <row r="45" spans="6:7" x14ac:dyDescent="0.25">
      <c r="F45" s="7">
        <v>-0.50731498015944776</v>
      </c>
      <c r="G45" s="7">
        <v>0</v>
      </c>
    </row>
    <row r="46" spans="6:7" x14ac:dyDescent="0.25">
      <c r="F46" s="7">
        <v>0.1275133638422164</v>
      </c>
      <c r="G46" s="7">
        <v>0</v>
      </c>
    </row>
    <row r="47" spans="6:7" x14ac:dyDescent="0.25">
      <c r="F47" s="7">
        <v>1.8751584520350331</v>
      </c>
      <c r="G47" s="7">
        <v>1</v>
      </c>
    </row>
    <row r="48" spans="6:7" x14ac:dyDescent="0.25">
      <c r="F48" s="7">
        <v>-0.2035931842057104</v>
      </c>
      <c r="G48" s="7">
        <v>1</v>
      </c>
    </row>
    <row r="49" spans="6:7" x14ac:dyDescent="0.25">
      <c r="F49" s="7">
        <v>-9.4103966287307668E-3</v>
      </c>
      <c r="G49" s="7">
        <v>0</v>
      </c>
    </row>
    <row r="50" spans="6:7" x14ac:dyDescent="0.25">
      <c r="F50" s="7">
        <v>-1.0475414532902756</v>
      </c>
      <c r="G50" s="7">
        <v>0</v>
      </c>
    </row>
    <row r="51" spans="6:7" x14ac:dyDescent="0.25">
      <c r="F51" s="7">
        <v>-0.13886558834671719</v>
      </c>
      <c r="G51" s="7">
        <v>0</v>
      </c>
    </row>
    <row r="52" spans="6:7" x14ac:dyDescent="0.25">
      <c r="F52" s="7">
        <v>-0.38034931135911493</v>
      </c>
      <c r="G52" s="7">
        <v>0</v>
      </c>
    </row>
    <row r="53" spans="6:7" x14ac:dyDescent="0.25">
      <c r="F53" s="7">
        <v>0.80466359744399152</v>
      </c>
      <c r="G53" s="7">
        <v>1</v>
      </c>
    </row>
    <row r="54" spans="6:7" x14ac:dyDescent="0.25">
      <c r="F54" s="7">
        <v>-0.73386156566592398</v>
      </c>
      <c r="G54" s="7">
        <v>0</v>
      </c>
    </row>
    <row r="55" spans="6:7" x14ac:dyDescent="0.25">
      <c r="F55" s="7">
        <v>0.21464666596009188</v>
      </c>
      <c r="G55" s="7">
        <v>0</v>
      </c>
    </row>
    <row r="56" spans="6:7" x14ac:dyDescent="0.25">
      <c r="F56" s="7">
        <v>-0.37039121968850058</v>
      </c>
      <c r="G56" s="7">
        <v>0</v>
      </c>
    </row>
    <row r="57" spans="6:7" x14ac:dyDescent="0.25">
      <c r="F57" s="7">
        <v>-0.29321600924123947</v>
      </c>
      <c r="G57" s="7">
        <v>0</v>
      </c>
    </row>
    <row r="58" spans="6:7" x14ac:dyDescent="0.25">
      <c r="F58" s="7">
        <v>-1.2467032867025625</v>
      </c>
      <c r="G58" s="7">
        <v>0</v>
      </c>
    </row>
    <row r="59" spans="6:7" x14ac:dyDescent="0.25">
      <c r="F59" s="7">
        <v>0.25696855556020282</v>
      </c>
      <c r="G59" s="7">
        <v>0</v>
      </c>
    </row>
    <row r="60" spans="6:7" x14ac:dyDescent="0.25">
      <c r="F60" s="7">
        <v>-0.96289767409005378</v>
      </c>
      <c r="G60" s="7">
        <v>0</v>
      </c>
    </row>
    <row r="61" spans="6:7" x14ac:dyDescent="0.25">
      <c r="F61" s="7">
        <v>-9.6543698746606246E-2</v>
      </c>
      <c r="G61" s="7">
        <v>0</v>
      </c>
    </row>
    <row r="62" spans="6:7" x14ac:dyDescent="0.25">
      <c r="F62" s="7">
        <v>0.36899708685461413</v>
      </c>
      <c r="G62" s="7">
        <v>1</v>
      </c>
    </row>
    <row r="63" spans="6:7" x14ac:dyDescent="0.25">
      <c r="F63" s="7">
        <v>0.69761411198488732</v>
      </c>
      <c r="G63" s="7">
        <v>1</v>
      </c>
    </row>
    <row r="64" spans="6:7" x14ac:dyDescent="0.25">
      <c r="F64" s="7">
        <v>-0.53967877808894438</v>
      </c>
      <c r="G64" s="7">
        <v>0</v>
      </c>
    </row>
    <row r="65" spans="6:7" x14ac:dyDescent="0.25">
      <c r="F65" s="7">
        <v>-0.84091105112502817</v>
      </c>
      <c r="G65" s="7">
        <v>0</v>
      </c>
    </row>
    <row r="66" spans="6:7" x14ac:dyDescent="0.25">
      <c r="F66" s="7">
        <v>-0.15629224877029227</v>
      </c>
      <c r="G66" s="7">
        <v>0</v>
      </c>
    </row>
    <row r="67" spans="6:7" x14ac:dyDescent="0.25">
      <c r="F67" s="7">
        <v>1.4569186018692308</v>
      </c>
      <c r="G67" s="7">
        <v>1</v>
      </c>
    </row>
    <row r="68" spans="6:7" x14ac:dyDescent="0.25">
      <c r="F68" s="7">
        <v>1.6087794998460994</v>
      </c>
      <c r="G68" s="7">
        <v>1</v>
      </c>
    </row>
    <row r="69" spans="6:7" x14ac:dyDescent="0.25">
      <c r="F69" s="7">
        <v>0.62292842445527985</v>
      </c>
      <c r="G69" s="7">
        <v>1</v>
      </c>
    </row>
    <row r="70" spans="6:7" x14ac:dyDescent="0.25">
      <c r="F70" s="7">
        <v>0.66276079113773712</v>
      </c>
      <c r="G70" s="7">
        <v>1</v>
      </c>
    </row>
    <row r="71" spans="6:7" x14ac:dyDescent="0.25">
      <c r="F71" s="7">
        <v>1.1606653746684541</v>
      </c>
      <c r="G71" s="7">
        <v>1</v>
      </c>
    </row>
    <row r="72" spans="6:7" x14ac:dyDescent="0.25">
      <c r="F72" s="7">
        <v>-0.70647681357173453</v>
      </c>
      <c r="G72" s="7">
        <v>0</v>
      </c>
    </row>
    <row r="73" spans="6:7" x14ac:dyDescent="0.25">
      <c r="F73" s="7">
        <v>-0.93800244491351792</v>
      </c>
      <c r="G73" s="7">
        <v>0</v>
      </c>
    </row>
    <row r="74" spans="6:7" x14ac:dyDescent="0.25">
      <c r="F74" s="7">
        <v>1.3623167309983946</v>
      </c>
      <c r="G74" s="7">
        <v>1</v>
      </c>
    </row>
    <row r="75" spans="6:7" x14ac:dyDescent="0.25">
      <c r="F75" s="7">
        <v>1.0810006413035393</v>
      </c>
      <c r="G75" s="7">
        <v>1</v>
      </c>
    </row>
    <row r="76" spans="6:7" x14ac:dyDescent="0.25">
      <c r="F76" s="7">
        <v>0.56815892026690096</v>
      </c>
      <c r="G76" s="7">
        <v>1</v>
      </c>
    </row>
    <row r="77" spans="6:7" x14ac:dyDescent="0.25">
      <c r="F77" s="7">
        <v>-0.22350936754693906</v>
      </c>
      <c r="G77" s="7">
        <v>0</v>
      </c>
    </row>
    <row r="78" spans="6:7" x14ac:dyDescent="0.25">
      <c r="F78" s="7">
        <v>-0.86829580321921762</v>
      </c>
      <c r="G78" s="7">
        <v>0</v>
      </c>
    </row>
    <row r="79" spans="6:7" x14ac:dyDescent="0.25">
      <c r="F79" s="7">
        <v>-1.0201567011960861</v>
      </c>
      <c r="G79" s="7">
        <v>0</v>
      </c>
    </row>
    <row r="80" spans="6:7" x14ac:dyDescent="0.25">
      <c r="F80" s="7">
        <v>-0.28325791757062513</v>
      </c>
      <c r="G80" s="7">
        <v>0</v>
      </c>
    </row>
    <row r="81" spans="6:7" x14ac:dyDescent="0.25">
      <c r="F81" s="7">
        <v>-0.45503499888872245</v>
      </c>
      <c r="G81" s="7">
        <v>0</v>
      </c>
    </row>
    <row r="82" spans="6:7" x14ac:dyDescent="0.25">
      <c r="F82" s="7">
        <v>1.6585699581991711</v>
      </c>
      <c r="G82" s="7">
        <v>1</v>
      </c>
    </row>
    <row r="83" spans="6:7" x14ac:dyDescent="0.25">
      <c r="F83" s="7">
        <v>1.989676506247098</v>
      </c>
      <c r="G83" s="7">
        <v>1</v>
      </c>
    </row>
    <row r="84" spans="6:7" x14ac:dyDescent="0.25">
      <c r="F84" s="7">
        <v>-1.1122690491492688</v>
      </c>
      <c r="G84" s="7">
        <v>0</v>
      </c>
    </row>
    <row r="85" spans="6:7" x14ac:dyDescent="0.25">
      <c r="F85" s="7">
        <v>-0.96040815117240019</v>
      </c>
      <c r="G85" s="7">
        <v>0</v>
      </c>
    </row>
    <row r="86" spans="6:7" x14ac:dyDescent="0.25">
      <c r="F86" s="7">
        <v>0.34908090351338544</v>
      </c>
      <c r="G86" s="7">
        <v>1</v>
      </c>
    </row>
    <row r="87" spans="6:7" x14ac:dyDescent="0.25">
      <c r="F87" s="7">
        <v>0.18975143678355602</v>
      </c>
      <c r="G87" s="7">
        <v>0</v>
      </c>
    </row>
    <row r="88" spans="6:7" x14ac:dyDescent="0.25">
      <c r="F88" s="7">
        <v>-0.86331675738391045</v>
      </c>
      <c r="G88" s="7">
        <v>0</v>
      </c>
    </row>
    <row r="89" spans="6:7" x14ac:dyDescent="0.25">
      <c r="F89" s="7">
        <v>0.69761411198488732</v>
      </c>
      <c r="G89" s="7">
        <v>1</v>
      </c>
    </row>
    <row r="90" spans="6:7" x14ac:dyDescent="0.25">
      <c r="F90" s="7">
        <v>-1.3587318179969738</v>
      </c>
      <c r="G90" s="7">
        <v>0</v>
      </c>
    </row>
    <row r="91" spans="6:7" x14ac:dyDescent="0.25">
      <c r="F91" s="7">
        <v>-0.31811123841777528</v>
      </c>
      <c r="G91" s="7">
        <v>0</v>
      </c>
    </row>
    <row r="92" spans="6:7" x14ac:dyDescent="0.25">
      <c r="F92" s="7">
        <v>-0.39030740302972927</v>
      </c>
      <c r="G92" s="7">
        <v>0</v>
      </c>
    </row>
    <row r="93" spans="6:7" x14ac:dyDescent="0.25">
      <c r="F93" s="7">
        <v>-0.69153967606581301</v>
      </c>
      <c r="G93" s="7">
        <v>0</v>
      </c>
    </row>
    <row r="94" spans="6:7" x14ac:dyDescent="0.25">
      <c r="F94" s="7">
        <v>-0.60191685103028403</v>
      </c>
      <c r="G94" s="7">
        <v>0</v>
      </c>
    </row>
    <row r="95" spans="6:7" x14ac:dyDescent="0.25">
      <c r="F95" s="7">
        <v>-0.6766025385598915</v>
      </c>
      <c r="G95" s="7">
        <v>0</v>
      </c>
    </row>
    <row r="96" spans="6:7" x14ac:dyDescent="0.25">
      <c r="F96" s="7">
        <v>-0.49237784265352624</v>
      </c>
      <c r="G96" s="7">
        <v>0</v>
      </c>
    </row>
    <row r="97" spans="6:7" x14ac:dyDescent="0.25">
      <c r="F97" s="7">
        <v>-0.64423874063039488</v>
      </c>
      <c r="G97" s="7">
        <v>0</v>
      </c>
    </row>
    <row r="98" spans="6:7" x14ac:dyDescent="0.25">
      <c r="F98" s="7">
        <v>0.85943310163237041</v>
      </c>
      <c r="G98" s="7">
        <v>1</v>
      </c>
    </row>
    <row r="99" spans="6:7" x14ac:dyDescent="0.25">
      <c r="F99" s="7">
        <v>-4.4313507934235965E-3</v>
      </c>
      <c r="G99" s="7">
        <v>1</v>
      </c>
    </row>
    <row r="100" spans="6:7" x14ac:dyDescent="0.25">
      <c r="F100" s="7">
        <v>-0.3853283571944221</v>
      </c>
      <c r="G100" s="7">
        <v>0</v>
      </c>
    </row>
    <row r="101" spans="6:7" x14ac:dyDescent="0.25">
      <c r="F101" s="7">
        <v>-0.82846343653676024</v>
      </c>
      <c r="G101" s="7">
        <v>0</v>
      </c>
    </row>
    <row r="102" spans="6:7" x14ac:dyDescent="0.25">
      <c r="F102" s="7">
        <v>0.25447903264254923</v>
      </c>
      <c r="G102" s="7">
        <v>0</v>
      </c>
    </row>
    <row r="103" spans="6:7" x14ac:dyDescent="0.25">
      <c r="F103" s="7">
        <v>-1.0923528658080401</v>
      </c>
      <c r="G103" s="7">
        <v>0</v>
      </c>
    </row>
    <row r="104" spans="6:7" x14ac:dyDescent="0.25">
      <c r="F104" s="7">
        <v>-0.9778348115959753</v>
      </c>
      <c r="G104" s="7">
        <v>0</v>
      </c>
    </row>
    <row r="105" spans="6:7" x14ac:dyDescent="0.25">
      <c r="F105" s="7">
        <v>-0.81352629903083873</v>
      </c>
      <c r="G105" s="7">
        <v>0</v>
      </c>
    </row>
    <row r="106" spans="6:7" x14ac:dyDescent="0.25">
      <c r="F106" s="7">
        <v>-1.291514699220327</v>
      </c>
      <c r="G106" s="7">
        <v>0</v>
      </c>
    </row>
    <row r="107" spans="6:7" x14ac:dyDescent="0.25">
      <c r="F107" s="7">
        <v>0.51089989316086848</v>
      </c>
      <c r="G107" s="7">
        <v>1</v>
      </c>
    </row>
    <row r="108" spans="6:7" x14ac:dyDescent="0.25">
      <c r="F108" s="7">
        <v>2.0463878383112252E-2</v>
      </c>
      <c r="G108" s="7">
        <v>0</v>
      </c>
    </row>
    <row r="109" spans="6:7" x14ac:dyDescent="0.25">
      <c r="F109" s="7">
        <v>0.72499886407907677</v>
      </c>
      <c r="G109" s="7">
        <v>1</v>
      </c>
    </row>
    <row r="110" spans="6:7" x14ac:dyDescent="0.25">
      <c r="F110" s="7">
        <v>-8.9075129993645488E-2</v>
      </c>
      <c r="G110" s="7">
        <v>1</v>
      </c>
    </row>
    <row r="111" spans="6:7" x14ac:dyDescent="0.25">
      <c r="F111" s="7">
        <v>1.3424005476571659</v>
      </c>
      <c r="G111" s="7">
        <v>1</v>
      </c>
    </row>
    <row r="112" spans="6:7" x14ac:dyDescent="0.25">
      <c r="F112" s="7">
        <v>1.773088012411236</v>
      </c>
      <c r="G112" s="7">
        <v>1</v>
      </c>
    </row>
    <row r="113" spans="6:7" x14ac:dyDescent="0.25">
      <c r="F113" s="7">
        <v>-3.4305625805266617E-2</v>
      </c>
      <c r="G113" s="7">
        <v>0</v>
      </c>
    </row>
    <row r="114" spans="6:7" x14ac:dyDescent="0.25">
      <c r="F114" s="7">
        <v>-8.4096084158338316E-2</v>
      </c>
      <c r="G114" s="7">
        <v>0</v>
      </c>
    </row>
    <row r="115" spans="6:7" x14ac:dyDescent="0.25">
      <c r="F115" s="7">
        <v>-0.34798551342961831</v>
      </c>
      <c r="G115" s="7">
        <v>0</v>
      </c>
    </row>
    <row r="116" spans="6:7" x14ac:dyDescent="0.25">
      <c r="F116" s="7">
        <v>-0.38781788011207569</v>
      </c>
      <c r="G116" s="7">
        <v>0</v>
      </c>
    </row>
    <row r="117" spans="6:7" x14ac:dyDescent="0.25">
      <c r="F117" s="7">
        <v>-0.499846411406487</v>
      </c>
      <c r="G117" s="7">
        <v>0</v>
      </c>
    </row>
    <row r="118" spans="6:7" x14ac:dyDescent="0.25">
      <c r="F118" s="7">
        <v>-0.26583125714705003</v>
      </c>
      <c r="G118" s="7">
        <v>0</v>
      </c>
    </row>
    <row r="119" spans="6:7" x14ac:dyDescent="0.25">
      <c r="F119" s="7">
        <v>-0.88074341780748555</v>
      </c>
      <c r="G119" s="7">
        <v>0</v>
      </c>
    </row>
    <row r="120" spans="6:7" x14ac:dyDescent="0.25">
      <c r="F120" s="7">
        <v>-0.50980450307710135</v>
      </c>
      <c r="G120" s="7">
        <v>0</v>
      </c>
    </row>
    <row r="121" spans="6:7" x14ac:dyDescent="0.25">
      <c r="F121" s="7">
        <v>-0.51478354891240852</v>
      </c>
      <c r="G121" s="7">
        <v>0</v>
      </c>
    </row>
    <row r="122" spans="6:7" x14ac:dyDescent="0.25">
      <c r="F122" s="7">
        <v>5.0194258970315104</v>
      </c>
      <c r="G122" s="7">
        <v>1</v>
      </c>
    </row>
    <row r="123" spans="6:7" x14ac:dyDescent="0.25">
      <c r="F123" s="7">
        <v>-0.31811123841777528</v>
      </c>
      <c r="G123" s="7">
        <v>0</v>
      </c>
    </row>
    <row r="124" spans="6:7" x14ac:dyDescent="0.25">
      <c r="F124" s="7">
        <v>0.14245050134813791</v>
      </c>
      <c r="G124" s="7">
        <v>1</v>
      </c>
    </row>
    <row r="125" spans="6:7" x14ac:dyDescent="0.25">
      <c r="F125" s="7">
        <v>0.91669212873840289</v>
      </c>
      <c r="G125" s="7">
        <v>1</v>
      </c>
    </row>
    <row r="126" spans="6:7" x14ac:dyDescent="0.25">
      <c r="F126" s="7">
        <v>-0.20110366128805682</v>
      </c>
      <c r="G126" s="7">
        <v>0</v>
      </c>
    </row>
    <row r="127" spans="6:7" x14ac:dyDescent="0.25">
      <c r="F127" s="7">
        <v>0.30177996807796736</v>
      </c>
      <c r="G127" s="7">
        <v>0</v>
      </c>
    </row>
    <row r="128" spans="6:7" x14ac:dyDescent="0.25">
      <c r="F128" s="7">
        <v>-0.50980450307710135</v>
      </c>
      <c r="G128" s="7">
        <v>0</v>
      </c>
    </row>
    <row r="129" spans="6:7" x14ac:dyDescent="0.25">
      <c r="F129" s="7">
        <v>-3.1816102887613031E-2</v>
      </c>
      <c r="G129" s="7">
        <v>1</v>
      </c>
    </row>
    <row r="130" spans="6:7" x14ac:dyDescent="0.25">
      <c r="F130" s="7">
        <v>0.65280269946712288</v>
      </c>
      <c r="G130" s="7">
        <v>1</v>
      </c>
    </row>
    <row r="131" spans="6:7" x14ac:dyDescent="0.25">
      <c r="F131" s="7">
        <v>-0.91808626157228923</v>
      </c>
      <c r="G131" s="7">
        <v>0</v>
      </c>
    </row>
    <row r="132" spans="6:7" x14ac:dyDescent="0.25">
      <c r="F132" s="7">
        <v>-0.11397035917018133</v>
      </c>
      <c r="G132" s="7">
        <v>1</v>
      </c>
    </row>
    <row r="133" spans="6:7" x14ac:dyDescent="0.25">
      <c r="F133" s="7">
        <v>1.6237166373520209</v>
      </c>
      <c r="G133" s="7">
        <v>1</v>
      </c>
    </row>
    <row r="134" spans="6:7" x14ac:dyDescent="0.25">
      <c r="F134" s="7">
        <v>0.89179689956186703</v>
      </c>
      <c r="G134" s="7">
        <v>1</v>
      </c>
    </row>
    <row r="135" spans="6:7" x14ac:dyDescent="0.25">
      <c r="F135" s="7">
        <v>1.2428196309510224</v>
      </c>
      <c r="G135" s="7">
        <v>1</v>
      </c>
    </row>
    <row r="136" spans="6:7" x14ac:dyDescent="0.25">
      <c r="F136" s="7">
        <v>1.0386787517034286</v>
      </c>
      <c r="G136" s="7">
        <v>1</v>
      </c>
    </row>
    <row r="137" spans="6:7" x14ac:dyDescent="0.25">
      <c r="F137" s="7">
        <v>1.0287206600328143</v>
      </c>
      <c r="G137" s="7">
        <v>1</v>
      </c>
    </row>
    <row r="138" spans="6:7" x14ac:dyDescent="0.25">
      <c r="F138" s="7">
        <v>0.17730382219528812</v>
      </c>
      <c r="G138" s="7">
        <v>0</v>
      </c>
    </row>
    <row r="139" spans="6:7" x14ac:dyDescent="0.25">
      <c r="F139" s="7">
        <v>-1.3711794325852418</v>
      </c>
      <c r="G139" s="7">
        <v>0</v>
      </c>
    </row>
    <row r="140" spans="6:7" x14ac:dyDescent="0.25">
      <c r="F140" s="7">
        <v>-0.4824197509829119</v>
      </c>
      <c r="G140" s="7">
        <v>0</v>
      </c>
    </row>
    <row r="141" spans="6:7" x14ac:dyDescent="0.25">
      <c r="F141" s="7">
        <v>-0.31811123841777528</v>
      </c>
      <c r="G141" s="7">
        <v>0</v>
      </c>
    </row>
    <row r="142" spans="6:7" x14ac:dyDescent="0.25">
      <c r="F142" s="7">
        <v>0.32667519725450322</v>
      </c>
      <c r="G142" s="7">
        <v>0</v>
      </c>
    </row>
    <row r="143" spans="6:7" x14ac:dyDescent="0.25">
      <c r="F143" s="7">
        <v>1.2104558330215258</v>
      </c>
      <c r="G143" s="7">
        <v>1</v>
      </c>
    </row>
    <row r="144" spans="6:7" x14ac:dyDescent="0.25">
      <c r="F144" s="7">
        <v>-0.39777597178269003</v>
      </c>
      <c r="G144" s="7">
        <v>0</v>
      </c>
    </row>
    <row r="145" spans="6:7" x14ac:dyDescent="0.25">
      <c r="F145" s="7">
        <v>-0.62681208020681989</v>
      </c>
      <c r="G145" s="7">
        <v>0</v>
      </c>
    </row>
    <row r="146" spans="6:7" x14ac:dyDescent="0.25">
      <c r="F146" s="7">
        <v>2.3307411459656393</v>
      </c>
      <c r="G146" s="7">
        <v>1</v>
      </c>
    </row>
    <row r="147" spans="6:7" x14ac:dyDescent="0.25">
      <c r="F147" s="7">
        <v>-0.25587316547643568</v>
      </c>
      <c r="G147" s="7">
        <v>0</v>
      </c>
    </row>
    <row r="148" spans="6:7" x14ac:dyDescent="0.25">
      <c r="F148" s="7">
        <v>8.5191474242105464E-2</v>
      </c>
      <c r="G148" s="7">
        <v>0</v>
      </c>
    </row>
    <row r="149" spans="6:7" x14ac:dyDescent="0.25">
      <c r="F149" s="7">
        <v>4.6509765052187797</v>
      </c>
      <c r="G149" s="7">
        <v>1</v>
      </c>
    </row>
    <row r="150" spans="6:7" x14ac:dyDescent="0.25">
      <c r="F150" s="7">
        <v>-0.30068457799420023</v>
      </c>
      <c r="G150" s="7">
        <v>0</v>
      </c>
    </row>
    <row r="151" spans="6:7" x14ac:dyDescent="0.25">
      <c r="F151" s="7">
        <v>-0.42267120095922589</v>
      </c>
      <c r="G151" s="7">
        <v>0</v>
      </c>
    </row>
    <row r="152" spans="6:7" x14ac:dyDescent="0.25">
      <c r="F152" s="7">
        <v>-0.92057578448994282</v>
      </c>
      <c r="G152" s="7">
        <v>0</v>
      </c>
    </row>
    <row r="153" spans="6:7" x14ac:dyDescent="0.25">
      <c r="F153" s="7">
        <v>-0.41769215512391872</v>
      </c>
      <c r="G153" s="7">
        <v>0</v>
      </c>
    </row>
    <row r="154" spans="6:7" x14ac:dyDescent="0.25">
      <c r="F154" s="7">
        <v>-0.93302339907821075</v>
      </c>
      <c r="G154" s="7">
        <v>0</v>
      </c>
    </row>
    <row r="155" spans="6:7" x14ac:dyDescent="0.25">
      <c r="F155" s="7">
        <v>-0.82846343653676024</v>
      </c>
      <c r="G155" s="7">
        <v>0</v>
      </c>
    </row>
    <row r="156" spans="6:7" x14ac:dyDescent="0.25">
      <c r="F156" s="7">
        <v>-1.1122690491492688</v>
      </c>
      <c r="G156" s="7">
        <v>0</v>
      </c>
    </row>
    <row r="157" spans="6:7" x14ac:dyDescent="0.25">
      <c r="F157" s="7">
        <v>-1.2168290116907194</v>
      </c>
      <c r="G157" s="7">
        <v>0</v>
      </c>
    </row>
    <row r="158" spans="6:7" x14ac:dyDescent="0.25">
      <c r="F158" s="7">
        <v>3.020338994155682</v>
      </c>
      <c r="G158" s="7">
        <v>1</v>
      </c>
    </row>
    <row r="159" spans="6:7" x14ac:dyDescent="0.25">
      <c r="F159" s="7">
        <v>-0.36043312801788624</v>
      </c>
      <c r="G159" s="7">
        <v>0</v>
      </c>
    </row>
    <row r="160" spans="6:7" x14ac:dyDescent="0.25">
      <c r="F160" s="7">
        <v>-0.7114558594070417</v>
      </c>
      <c r="G160" s="7">
        <v>0</v>
      </c>
    </row>
    <row r="161" spans="6:7" x14ac:dyDescent="0.25">
      <c r="F161" s="7">
        <v>-0.76871488651307418</v>
      </c>
      <c r="G161" s="7">
        <v>0</v>
      </c>
    </row>
    <row r="162" spans="6:7" x14ac:dyDescent="0.25">
      <c r="F162" s="7">
        <v>-0.25089411964112851</v>
      </c>
      <c r="G162" s="7">
        <v>0</v>
      </c>
    </row>
    <row r="163" spans="6:7" x14ac:dyDescent="0.25">
      <c r="F163" s="7">
        <v>-0.60191685103028403</v>
      </c>
      <c r="G163" s="7">
        <v>0</v>
      </c>
    </row>
    <row r="164" spans="6:7" x14ac:dyDescent="0.25">
      <c r="F164" s="7">
        <v>-0.82846343653676024</v>
      </c>
      <c r="G164" s="7">
        <v>0</v>
      </c>
    </row>
    <row r="165" spans="6:7" x14ac:dyDescent="0.25">
      <c r="F165" s="7">
        <v>-0.34549599051196472</v>
      </c>
      <c r="G165" s="7">
        <v>0</v>
      </c>
    </row>
    <row r="166" spans="6:7" x14ac:dyDescent="0.25">
      <c r="F166" s="7">
        <v>0.47853609523137186</v>
      </c>
      <c r="G166" s="7">
        <v>1</v>
      </c>
    </row>
    <row r="167" spans="6:7" x14ac:dyDescent="0.25">
      <c r="F167" s="7">
        <v>1.5614785644106814</v>
      </c>
      <c r="G167" s="7">
        <v>1</v>
      </c>
    </row>
    <row r="168" spans="6:7" x14ac:dyDescent="0.25">
      <c r="F168" s="7">
        <v>-1.0077090866078184</v>
      </c>
      <c r="G168" s="7">
        <v>0</v>
      </c>
    </row>
    <row r="169" spans="6:7" x14ac:dyDescent="0.25">
      <c r="F169" s="7">
        <v>-0.34300646759431114</v>
      </c>
      <c r="G169" s="7">
        <v>0</v>
      </c>
    </row>
    <row r="170" spans="6:7" x14ac:dyDescent="0.25">
      <c r="F170" s="7">
        <v>-0.85833771154860328</v>
      </c>
      <c r="G170" s="7">
        <v>0</v>
      </c>
    </row>
    <row r="171" spans="6:7" x14ac:dyDescent="0.25">
      <c r="F171" s="7">
        <v>1.6311852061049816</v>
      </c>
      <c r="G171" s="7">
        <v>1</v>
      </c>
    </row>
    <row r="172" spans="6:7" x14ac:dyDescent="0.25">
      <c r="F172" s="7">
        <v>-1.4284384596912743</v>
      </c>
      <c r="G172" s="7">
        <v>0</v>
      </c>
    </row>
    <row r="173" spans="6:7" x14ac:dyDescent="0.25">
      <c r="F173" s="7">
        <v>-0.58697971352436251</v>
      </c>
      <c r="G173" s="7">
        <v>0</v>
      </c>
    </row>
    <row r="174" spans="6:7" x14ac:dyDescent="0.25">
      <c r="F174" s="7">
        <v>-0.22350936754693906</v>
      </c>
      <c r="G174" s="7">
        <v>0</v>
      </c>
    </row>
    <row r="175" spans="6:7" x14ac:dyDescent="0.25">
      <c r="F175" s="7">
        <v>-0.18865604669978889</v>
      </c>
      <c r="G175" s="7">
        <v>0</v>
      </c>
    </row>
    <row r="176" spans="6:7" x14ac:dyDescent="0.25">
      <c r="F176" s="7">
        <v>-0.81352629903083873</v>
      </c>
      <c r="G176" s="7">
        <v>0</v>
      </c>
    </row>
    <row r="177" spans="6:7" x14ac:dyDescent="0.25">
      <c r="F177" s="7">
        <v>1.4668766935398452</v>
      </c>
      <c r="G177" s="7">
        <v>1</v>
      </c>
    </row>
    <row r="178" spans="6:7" x14ac:dyDescent="0.25">
      <c r="F178" s="7">
        <v>-1.3587318179969738</v>
      </c>
      <c r="G178" s="7">
        <v>0</v>
      </c>
    </row>
    <row r="179" spans="6:7" x14ac:dyDescent="0.25">
      <c r="F179" s="7">
        <v>0.6826769744789658</v>
      </c>
      <c r="G179" s="7">
        <v>1</v>
      </c>
    </row>
    <row r="180" spans="6:7" x14ac:dyDescent="0.25">
      <c r="F180" s="7">
        <v>-0.8010786844425708</v>
      </c>
      <c r="G180" s="7">
        <v>0</v>
      </c>
    </row>
    <row r="181" spans="6:7" x14ac:dyDescent="0.25">
      <c r="F181" s="7">
        <v>-0.13886558834671719</v>
      </c>
      <c r="G181" s="7">
        <v>0</v>
      </c>
    </row>
    <row r="182" spans="6:7" x14ac:dyDescent="0.25">
      <c r="F182" s="7">
        <v>-0.53718925517129079</v>
      </c>
      <c r="G182" s="7">
        <v>0</v>
      </c>
    </row>
    <row r="183" spans="6:7" x14ac:dyDescent="0.25">
      <c r="F183" s="7">
        <v>-0.6591758781363164</v>
      </c>
      <c r="G183" s="7">
        <v>0</v>
      </c>
    </row>
    <row r="184" spans="6:7" x14ac:dyDescent="0.25">
      <c r="F184" s="7">
        <v>-0.26085221131174285</v>
      </c>
      <c r="G184" s="7">
        <v>0</v>
      </c>
    </row>
    <row r="185" spans="6:7" x14ac:dyDescent="0.25">
      <c r="F185" s="7">
        <v>-0.12641797375844926</v>
      </c>
      <c r="G185" s="7">
        <v>0</v>
      </c>
    </row>
    <row r="186" spans="6:7" x14ac:dyDescent="0.25">
      <c r="F186" s="7">
        <v>0.42127706812533944</v>
      </c>
      <c r="G186" s="7">
        <v>0</v>
      </c>
    </row>
    <row r="187" spans="6:7" x14ac:dyDescent="0.25">
      <c r="F187" s="7">
        <v>-0.32557980717073604</v>
      </c>
      <c r="G187" s="7">
        <v>0</v>
      </c>
    </row>
    <row r="188" spans="6:7" x14ac:dyDescent="0.25">
      <c r="F188" s="7">
        <v>7.7722905489144706E-2</v>
      </c>
      <c r="G188" s="7">
        <v>0</v>
      </c>
    </row>
    <row r="189" spans="6:7" x14ac:dyDescent="0.25">
      <c r="F189" s="7">
        <v>-1.3288575429851308</v>
      </c>
      <c r="G189" s="7">
        <v>0</v>
      </c>
    </row>
    <row r="190" spans="6:7" x14ac:dyDescent="0.25">
      <c r="F190" s="7">
        <v>0.51338941607852207</v>
      </c>
      <c r="G190" s="7">
        <v>1</v>
      </c>
    </row>
    <row r="191" spans="6:7" x14ac:dyDescent="0.25">
      <c r="F191" s="7">
        <v>0.69014554323192656</v>
      </c>
      <c r="G191" s="7">
        <v>1</v>
      </c>
    </row>
    <row r="192" spans="6:7" x14ac:dyDescent="0.25">
      <c r="F192" s="7">
        <v>0.44866182021952888</v>
      </c>
      <c r="G192" s="7">
        <v>1</v>
      </c>
    </row>
    <row r="193" spans="6:7" x14ac:dyDescent="0.25">
      <c r="F193" s="7">
        <v>2.4900706126954684</v>
      </c>
      <c r="G193" s="7">
        <v>1</v>
      </c>
    </row>
    <row r="194" spans="6:7" x14ac:dyDescent="0.25">
      <c r="F194" s="7">
        <v>0.18477239094824885</v>
      </c>
      <c r="G194" s="7">
        <v>1</v>
      </c>
    </row>
    <row r="195" spans="6:7" x14ac:dyDescent="0.25">
      <c r="F195" s="7">
        <v>1.5564995185753743</v>
      </c>
      <c r="G195" s="7">
        <v>1</v>
      </c>
    </row>
    <row r="196" spans="6:7" x14ac:dyDescent="0.25">
      <c r="F196" s="7">
        <v>-0.83344248237206742</v>
      </c>
      <c r="G196" s="7">
        <v>0</v>
      </c>
    </row>
    <row r="197" spans="6:7" x14ac:dyDescent="0.25">
      <c r="F197" s="7">
        <v>1.5365833352341456</v>
      </c>
      <c r="G197" s="7">
        <v>1</v>
      </c>
    </row>
    <row r="198" spans="6:7" x14ac:dyDescent="0.25">
      <c r="F198" s="7">
        <v>-0.56706353018313382</v>
      </c>
      <c r="G198" s="7">
        <v>0</v>
      </c>
    </row>
    <row r="199" spans="6:7" x14ac:dyDescent="0.25">
      <c r="F199" s="7">
        <v>0.36650756393696055</v>
      </c>
      <c r="G199" s="7">
        <v>1</v>
      </c>
    </row>
    <row r="200" spans="6:7" x14ac:dyDescent="0.25">
      <c r="F200" s="7">
        <v>-0.43262929262984023</v>
      </c>
      <c r="G200" s="7">
        <v>0</v>
      </c>
    </row>
    <row r="201" spans="6:7" x14ac:dyDescent="0.25">
      <c r="F201" s="7">
        <v>0.99137781626801036</v>
      </c>
      <c r="G201" s="7">
        <v>1</v>
      </c>
    </row>
    <row r="202" spans="6:7" x14ac:dyDescent="0.25">
      <c r="F202" s="7">
        <v>-1.1122690491492688</v>
      </c>
      <c r="G202" s="7">
        <v>0</v>
      </c>
    </row>
    <row r="203" spans="6:7" x14ac:dyDescent="0.25">
      <c r="F203" s="7">
        <v>2.1614535875651955</v>
      </c>
      <c r="G203" s="7">
        <v>1</v>
      </c>
    </row>
    <row r="204" spans="6:7" x14ac:dyDescent="0.25">
      <c r="F204" s="7">
        <v>-0.75875679484245984</v>
      </c>
      <c r="G204" s="7">
        <v>0</v>
      </c>
    </row>
    <row r="205" spans="6:7" x14ac:dyDescent="0.25">
      <c r="F205" s="7">
        <v>1.4992404914693418</v>
      </c>
      <c r="G205" s="7">
        <v>1</v>
      </c>
    </row>
    <row r="206" spans="6:7" x14ac:dyDescent="0.25">
      <c r="F206" s="7">
        <v>1.5415623810694528</v>
      </c>
      <c r="G206" s="7">
        <v>1</v>
      </c>
    </row>
    <row r="207" spans="6:7" x14ac:dyDescent="0.25">
      <c r="F207" s="7">
        <v>0.47853609523137186</v>
      </c>
      <c r="G207" s="7">
        <v>1</v>
      </c>
    </row>
    <row r="208" spans="6:7" x14ac:dyDescent="0.25">
      <c r="F208" s="7">
        <v>-0.12890749667610285</v>
      </c>
      <c r="G208" s="7">
        <v>0</v>
      </c>
    </row>
    <row r="209" spans="6:7" x14ac:dyDescent="0.25">
      <c r="F209" s="7">
        <v>-4.9242763311188126E-2</v>
      </c>
      <c r="G209" s="7">
        <v>0</v>
      </c>
    </row>
    <row r="210" spans="6:7" x14ac:dyDescent="0.25">
      <c r="F210" s="7">
        <v>0.52583703066679</v>
      </c>
      <c r="G210" s="7">
        <v>1</v>
      </c>
    </row>
    <row r="211" spans="6:7" x14ac:dyDescent="0.25">
      <c r="F211" s="7">
        <v>-1.1720175991729549</v>
      </c>
      <c r="G211" s="7">
        <v>0</v>
      </c>
    </row>
    <row r="212" spans="6:7" x14ac:dyDescent="0.25">
      <c r="F212" s="7">
        <v>-0.7288825198306168</v>
      </c>
      <c r="G212" s="7">
        <v>0</v>
      </c>
    </row>
    <row r="213" spans="6:7" x14ac:dyDescent="0.25">
      <c r="F213" s="7">
        <v>2.3805316043187106</v>
      </c>
      <c r="G213" s="7">
        <v>1</v>
      </c>
    </row>
    <row r="214" spans="6:7" x14ac:dyDescent="0.25">
      <c r="F214" s="7">
        <v>-0.90065960114871413</v>
      </c>
      <c r="G214" s="7">
        <v>0</v>
      </c>
    </row>
    <row r="215" spans="6:7" x14ac:dyDescent="0.25">
      <c r="F215" s="7">
        <v>-0.63428064895978054</v>
      </c>
      <c r="G215" s="7">
        <v>0</v>
      </c>
    </row>
    <row r="216" spans="6:7" x14ac:dyDescent="0.25">
      <c r="F216" s="7">
        <v>-0.38283883427676851</v>
      </c>
      <c r="G216" s="7">
        <v>0</v>
      </c>
    </row>
    <row r="217" spans="6:7" x14ac:dyDescent="0.25">
      <c r="F217" s="7">
        <v>0.24452094097193489</v>
      </c>
      <c r="G217" s="7">
        <v>1</v>
      </c>
    </row>
    <row r="218" spans="6:7" x14ac:dyDescent="0.25">
      <c r="F218" s="7">
        <v>1.2104558330215258</v>
      </c>
      <c r="G218" s="7">
        <v>1</v>
      </c>
    </row>
    <row r="219" spans="6:7" x14ac:dyDescent="0.25">
      <c r="F219" s="7">
        <v>-1.1745071220906085</v>
      </c>
      <c r="G219" s="7">
        <v>0</v>
      </c>
    </row>
    <row r="220" spans="6:7" x14ac:dyDescent="0.25">
      <c r="F220" s="7">
        <v>0.45115134313718247</v>
      </c>
      <c r="G220" s="7">
        <v>0</v>
      </c>
    </row>
    <row r="221" spans="6:7" x14ac:dyDescent="0.25">
      <c r="F221" s="7">
        <v>-0.39279692594738286</v>
      </c>
      <c r="G221" s="7">
        <v>0</v>
      </c>
    </row>
    <row r="222" spans="6:7" x14ac:dyDescent="0.25">
      <c r="F222" s="7">
        <v>-0.74630918025419191</v>
      </c>
      <c r="G222" s="7">
        <v>0</v>
      </c>
    </row>
    <row r="223" spans="6:7" x14ac:dyDescent="0.25">
      <c r="F223" s="7">
        <v>-0.96040815117240019</v>
      </c>
      <c r="G223" s="7">
        <v>0</v>
      </c>
    </row>
    <row r="224" spans="6:7" x14ac:dyDescent="0.25">
      <c r="F224" s="7">
        <v>6.5275290900876776E-2</v>
      </c>
      <c r="G224" s="7">
        <v>0</v>
      </c>
    </row>
    <row r="225" spans="6:7" x14ac:dyDescent="0.25">
      <c r="F225" s="7">
        <v>1.2995309630151499E-2</v>
      </c>
      <c r="G225" s="7">
        <v>1</v>
      </c>
    </row>
    <row r="226" spans="6:7" x14ac:dyDescent="0.25">
      <c r="F226" s="7">
        <v>-0.79361011568961004</v>
      </c>
      <c r="G226" s="7">
        <v>0</v>
      </c>
    </row>
    <row r="227" spans="6:7" x14ac:dyDescent="0.25">
      <c r="F227" s="7">
        <v>1.5484832547805083E-2</v>
      </c>
      <c r="G227" s="7">
        <v>1</v>
      </c>
    </row>
    <row r="228" spans="6:7" x14ac:dyDescent="0.25">
      <c r="F228" s="7">
        <v>-0.25089411964112851</v>
      </c>
      <c r="G228" s="7">
        <v>0</v>
      </c>
    </row>
    <row r="229" spans="6:7" x14ac:dyDescent="0.25">
      <c r="F229" s="7">
        <v>-1.363710863832281</v>
      </c>
      <c r="G229" s="7">
        <v>0</v>
      </c>
    </row>
    <row r="230" spans="6:7" x14ac:dyDescent="0.25">
      <c r="F230" s="7">
        <v>-0.85086914279564252</v>
      </c>
      <c r="G230" s="7">
        <v>0</v>
      </c>
    </row>
    <row r="231" spans="6:7" x14ac:dyDescent="0.25">
      <c r="F231" s="7">
        <v>-0.21106175295867113</v>
      </c>
      <c r="G231" s="7">
        <v>0</v>
      </c>
    </row>
    <row r="232" spans="6:7" x14ac:dyDescent="0.25">
      <c r="F232" s="7">
        <v>1.9672707999882157</v>
      </c>
      <c r="G232" s="7">
        <v>1</v>
      </c>
    </row>
    <row r="233" spans="6:7" x14ac:dyDescent="0.25">
      <c r="F233" s="7">
        <v>1.7282765998934715</v>
      </c>
      <c r="G233" s="7">
        <v>1</v>
      </c>
    </row>
    <row r="234" spans="6:7" x14ac:dyDescent="0.25">
      <c r="F234" s="7">
        <v>2.7464914732137875</v>
      </c>
      <c r="G234" s="7">
        <v>1</v>
      </c>
    </row>
    <row r="235" spans="6:7" x14ac:dyDescent="0.25">
      <c r="F235" s="7">
        <v>-0.1861665237821353</v>
      </c>
      <c r="G235" s="7">
        <v>0</v>
      </c>
    </row>
    <row r="236" spans="6:7" x14ac:dyDescent="0.25">
      <c r="F236" s="7">
        <v>-0.8882119865604462</v>
      </c>
      <c r="G236" s="7">
        <v>0</v>
      </c>
    </row>
    <row r="237" spans="6:7" x14ac:dyDescent="0.25">
      <c r="F237" s="7">
        <v>-2.6837057052305862E-2</v>
      </c>
      <c r="G237" s="7">
        <v>0</v>
      </c>
    </row>
    <row r="238" spans="6:7" x14ac:dyDescent="0.25">
      <c r="F238" s="7">
        <v>-0.14384463418202437</v>
      </c>
      <c r="G238" s="7">
        <v>0</v>
      </c>
    </row>
    <row r="239" spans="6:7" x14ac:dyDescent="0.25">
      <c r="F239" s="7">
        <v>-0.37288074260615417</v>
      </c>
      <c r="G239" s="7">
        <v>0</v>
      </c>
    </row>
    <row r="240" spans="6:7" x14ac:dyDescent="0.25">
      <c r="F240" s="7">
        <v>-0.11645988208783492</v>
      </c>
      <c r="G240" s="7">
        <v>0</v>
      </c>
    </row>
    <row r="241" spans="6:7" x14ac:dyDescent="0.25">
      <c r="F241" s="7">
        <v>-0.3504750363472719</v>
      </c>
      <c r="G241" s="7">
        <v>0</v>
      </c>
    </row>
    <row r="242" spans="6:7" x14ac:dyDescent="0.25">
      <c r="F242" s="7">
        <v>-0.86580628030156404</v>
      </c>
      <c r="G242" s="7">
        <v>0</v>
      </c>
    </row>
    <row r="243" spans="6:7" x14ac:dyDescent="0.25">
      <c r="F243" s="7">
        <v>-5.6711332064148877E-2</v>
      </c>
      <c r="G243" s="7">
        <v>0</v>
      </c>
    </row>
    <row r="244" spans="6:7" x14ac:dyDescent="0.25">
      <c r="F244" s="7">
        <v>0.81711121203225945</v>
      </c>
      <c r="G244" s="7">
        <v>1</v>
      </c>
    </row>
    <row r="245" spans="6:7" x14ac:dyDescent="0.25">
      <c r="F245" s="7">
        <v>-4.4263717475880954E-2</v>
      </c>
      <c r="G245" s="7">
        <v>0</v>
      </c>
    </row>
    <row r="246" spans="6:7" x14ac:dyDescent="0.25">
      <c r="F246" s="7">
        <v>0.28186378473673868</v>
      </c>
      <c r="G246" s="7">
        <v>1</v>
      </c>
    </row>
    <row r="247" spans="6:7" x14ac:dyDescent="0.25">
      <c r="F247" s="7">
        <v>6.0296245065569611E-2</v>
      </c>
      <c r="G247" s="7">
        <v>0</v>
      </c>
    </row>
    <row r="248" spans="6:7" x14ac:dyDescent="0.25">
      <c r="F248" s="7">
        <v>-1.045051930372622</v>
      </c>
      <c r="G248" s="7">
        <v>0</v>
      </c>
    </row>
    <row r="249" spans="6:7" x14ac:dyDescent="0.25">
      <c r="F249" s="7">
        <v>0.39140279311349641</v>
      </c>
      <c r="G249" s="7">
        <v>1</v>
      </c>
    </row>
    <row r="250" spans="6:7" x14ac:dyDescent="0.25">
      <c r="F250" s="7">
        <v>-1.219318534608373</v>
      </c>
      <c r="G250" s="7">
        <v>0</v>
      </c>
    </row>
    <row r="251" spans="6:7" x14ac:dyDescent="0.25">
      <c r="F251" s="7">
        <v>2.0463878383112252E-2</v>
      </c>
      <c r="G251" s="7">
        <v>0</v>
      </c>
    </row>
    <row r="252" spans="6:7" x14ac:dyDescent="0.25">
      <c r="F252" s="7">
        <v>-0.37537026552380776</v>
      </c>
      <c r="G252" s="7">
        <v>0</v>
      </c>
    </row>
    <row r="253" spans="6:7" x14ac:dyDescent="0.25">
      <c r="F253" s="7">
        <v>0.33663328892511757</v>
      </c>
      <c r="G253" s="7">
        <v>1</v>
      </c>
    </row>
    <row r="254" spans="6:7" x14ac:dyDescent="0.25">
      <c r="F254" s="7">
        <v>-1.074926205384465</v>
      </c>
      <c r="G254" s="7">
        <v>0</v>
      </c>
    </row>
    <row r="255" spans="6:7" x14ac:dyDescent="0.25">
      <c r="F255" s="7">
        <v>-0.93302339907821075</v>
      </c>
      <c r="G255" s="7">
        <v>0</v>
      </c>
    </row>
    <row r="256" spans="6:7" x14ac:dyDescent="0.25">
      <c r="F256" s="7">
        <v>2.5448401168838473</v>
      </c>
      <c r="G256" s="7">
        <v>1</v>
      </c>
    </row>
    <row r="257" spans="6:7" x14ac:dyDescent="0.25">
      <c r="F257" s="7">
        <v>-0.19114556961744247</v>
      </c>
      <c r="G257" s="7">
        <v>0</v>
      </c>
    </row>
    <row r="258" spans="6:7" x14ac:dyDescent="0.25">
      <c r="F258" s="7">
        <v>-0.78863106985430287</v>
      </c>
      <c r="G258" s="7">
        <v>0</v>
      </c>
    </row>
    <row r="259" spans="6:7" x14ac:dyDescent="0.25">
      <c r="F259" s="7">
        <v>-1.1969128283494908</v>
      </c>
      <c r="G259" s="7">
        <v>0</v>
      </c>
    </row>
    <row r="260" spans="6:7" x14ac:dyDescent="0.25">
      <c r="F260" s="7">
        <v>-1.3736689555028954</v>
      </c>
      <c r="G260" s="7">
        <v>0</v>
      </c>
    </row>
    <row r="261" spans="6:7" x14ac:dyDescent="0.25">
      <c r="F261" s="7">
        <v>2.343188760553907</v>
      </c>
      <c r="G261" s="7">
        <v>1</v>
      </c>
    </row>
    <row r="262" spans="6:7" x14ac:dyDescent="0.25">
      <c r="F262" s="7">
        <v>-0.11148083625252775</v>
      </c>
      <c r="G262" s="7">
        <v>1</v>
      </c>
    </row>
    <row r="263" spans="6:7" x14ac:dyDescent="0.25">
      <c r="F263" s="7">
        <v>-0.11397035917018133</v>
      </c>
      <c r="G263" s="7">
        <v>0</v>
      </c>
    </row>
    <row r="264" spans="6:7" x14ac:dyDescent="0.25">
      <c r="F264" s="7">
        <v>-0.21106175295867113</v>
      </c>
      <c r="G264" s="7">
        <v>0</v>
      </c>
    </row>
    <row r="265" spans="6:7" x14ac:dyDescent="0.25">
      <c r="F265" s="7">
        <v>1.6162480685990601</v>
      </c>
      <c r="G265" s="7">
        <v>1</v>
      </c>
    </row>
    <row r="266" spans="6:7" x14ac:dyDescent="0.25">
      <c r="F266" s="7">
        <v>-1.1545909387493798</v>
      </c>
      <c r="G266" s="7">
        <v>0</v>
      </c>
    </row>
    <row r="267" spans="6:7" x14ac:dyDescent="0.25">
      <c r="F267" s="7">
        <v>-0.9952614720195504</v>
      </c>
      <c r="G267" s="7">
        <v>0</v>
      </c>
    </row>
    <row r="268" spans="6:7" x14ac:dyDescent="0.25">
      <c r="F268" s="7">
        <v>1.071042549632925</v>
      </c>
      <c r="G268" s="7">
        <v>1</v>
      </c>
    </row>
    <row r="269" spans="6:7" x14ac:dyDescent="0.25">
      <c r="F269" s="7">
        <v>0.62541794737293344</v>
      </c>
      <c r="G269" s="7">
        <v>1</v>
      </c>
    </row>
    <row r="270" spans="6:7" x14ac:dyDescent="0.25">
      <c r="F270" s="7">
        <v>9.2660042995066222E-2</v>
      </c>
      <c r="G270" s="7">
        <v>1</v>
      </c>
    </row>
    <row r="271" spans="6:7" x14ac:dyDescent="0.25">
      <c r="F271" s="7">
        <v>0.98141972459739601</v>
      </c>
      <c r="G271" s="7">
        <v>1</v>
      </c>
    </row>
    <row r="272" spans="6:7" x14ac:dyDescent="0.25">
      <c r="F272" s="7">
        <v>-0.43262929262984023</v>
      </c>
      <c r="G272" s="7">
        <v>0</v>
      </c>
    </row>
    <row r="273" spans="6:7" x14ac:dyDescent="0.25">
      <c r="F273" s="7">
        <v>0.62790747029058702</v>
      </c>
      <c r="G273" s="7">
        <v>0</v>
      </c>
    </row>
    <row r="274" spans="6:7" x14ac:dyDescent="0.25">
      <c r="F274" s="7">
        <v>-1.219318534608373</v>
      </c>
      <c r="G274" s="7">
        <v>0</v>
      </c>
    </row>
    <row r="275" spans="6:7" x14ac:dyDescent="0.25">
      <c r="F275" s="7">
        <v>0.2121571430424383</v>
      </c>
      <c r="G275" s="7">
        <v>0</v>
      </c>
    </row>
    <row r="276" spans="6:7" x14ac:dyDescent="0.25">
      <c r="F276" s="7">
        <v>1.2527777226216368</v>
      </c>
      <c r="G276" s="7">
        <v>1</v>
      </c>
    </row>
    <row r="277" spans="6:7" x14ac:dyDescent="0.25">
      <c r="F277" s="7">
        <v>0.58060653485516889</v>
      </c>
      <c r="G277" s="7">
        <v>0</v>
      </c>
    </row>
    <row r="278" spans="6:7" x14ac:dyDescent="0.25">
      <c r="F278" s="7">
        <v>-0.4027550176179972</v>
      </c>
      <c r="G278" s="7">
        <v>0</v>
      </c>
    </row>
    <row r="279" spans="6:7" x14ac:dyDescent="0.25">
      <c r="F279" s="7">
        <v>-0.89070150947809978</v>
      </c>
      <c r="G279" s="7">
        <v>0</v>
      </c>
    </row>
    <row r="280" spans="6:7" x14ac:dyDescent="0.25">
      <c r="F280" s="7">
        <v>-1.0326043157843541</v>
      </c>
      <c r="G280" s="7">
        <v>0</v>
      </c>
    </row>
    <row r="281" spans="6:7" x14ac:dyDescent="0.25">
      <c r="F281" s="7">
        <v>-0.19114556961744247</v>
      </c>
      <c r="G281" s="7">
        <v>0</v>
      </c>
    </row>
    <row r="282" spans="6:7" x14ac:dyDescent="0.25">
      <c r="F282" s="7">
        <v>1.6685280498697854</v>
      </c>
      <c r="G282" s="7">
        <v>1</v>
      </c>
    </row>
    <row r="283" spans="6:7" x14ac:dyDescent="0.25">
      <c r="F283" s="7">
        <v>1.389701483092584</v>
      </c>
      <c r="G283" s="7">
        <v>1</v>
      </c>
    </row>
    <row r="284" spans="6:7" x14ac:dyDescent="0.25">
      <c r="F284" s="7">
        <v>2.1340688354710058</v>
      </c>
      <c r="G284" s="7">
        <v>1</v>
      </c>
    </row>
    <row r="285" spans="6:7" x14ac:dyDescent="0.25">
      <c r="F285" s="7">
        <v>-0.12641797375844926</v>
      </c>
      <c r="G285" s="7">
        <v>0</v>
      </c>
    </row>
    <row r="286" spans="6:7" x14ac:dyDescent="0.25">
      <c r="F286" s="7">
        <v>-1.291514699220327</v>
      </c>
      <c r="G286" s="7">
        <v>0</v>
      </c>
    </row>
    <row r="287" spans="6:7" x14ac:dyDescent="0.25">
      <c r="F287" s="7">
        <v>-0.61685398853620554</v>
      </c>
      <c r="G287" s="7">
        <v>0</v>
      </c>
    </row>
    <row r="288" spans="6:7" x14ac:dyDescent="0.25">
      <c r="F288" s="7">
        <v>-0.24093602797051417</v>
      </c>
      <c r="G288" s="7">
        <v>0</v>
      </c>
    </row>
    <row r="289" spans="6:7" x14ac:dyDescent="0.25">
      <c r="F289" s="7">
        <v>-0.81601582194849231</v>
      </c>
      <c r="G289" s="7">
        <v>0</v>
      </c>
    </row>
    <row r="290" spans="6:7" x14ac:dyDescent="0.25">
      <c r="F290" s="7">
        <v>0.69512458906723373</v>
      </c>
      <c r="G290" s="7">
        <v>1</v>
      </c>
    </row>
    <row r="291" spans="6:7" x14ac:dyDescent="0.25">
      <c r="F291" s="7">
        <v>-0.93053387616055716</v>
      </c>
      <c r="G291" s="7">
        <v>0</v>
      </c>
    </row>
    <row r="292" spans="6:7" x14ac:dyDescent="0.25">
      <c r="F292" s="7">
        <v>-2.4347534134652276E-2</v>
      </c>
      <c r="G292" s="7">
        <v>0</v>
      </c>
    </row>
    <row r="293" spans="6:7" x14ac:dyDescent="0.25">
      <c r="F293" s="7">
        <v>0.83453787245583455</v>
      </c>
      <c r="G293" s="7">
        <v>1</v>
      </c>
    </row>
    <row r="294" spans="6:7" x14ac:dyDescent="0.25">
      <c r="F294" s="7">
        <v>1.8477736999408436</v>
      </c>
      <c r="G294" s="7">
        <v>1</v>
      </c>
    </row>
    <row r="295" spans="6:7" x14ac:dyDescent="0.25">
      <c r="F295" s="7">
        <v>-0.4824197509829119</v>
      </c>
      <c r="G295" s="7">
        <v>0</v>
      </c>
    </row>
    <row r="296" spans="6:7" x14ac:dyDescent="0.25">
      <c r="F296" s="7">
        <v>-0.23595698213520699</v>
      </c>
      <c r="G296" s="7">
        <v>0</v>
      </c>
    </row>
    <row r="297" spans="6:7" x14ac:dyDescent="0.25">
      <c r="F297" s="7">
        <v>0.99137781626801036</v>
      </c>
      <c r="G297" s="7">
        <v>1</v>
      </c>
    </row>
    <row r="298" spans="6:7" x14ac:dyDescent="0.25">
      <c r="F298" s="7">
        <v>-0.24093602797051417</v>
      </c>
      <c r="G298" s="7">
        <v>0</v>
      </c>
    </row>
    <row r="299" spans="6:7" x14ac:dyDescent="0.25">
      <c r="F299" s="7">
        <v>0.5606903515139402</v>
      </c>
      <c r="G299" s="7">
        <v>1</v>
      </c>
    </row>
    <row r="300" spans="6:7" x14ac:dyDescent="0.25">
      <c r="F300" s="7">
        <v>6.0296245065569611E-2</v>
      </c>
      <c r="G300" s="7">
        <v>0</v>
      </c>
    </row>
    <row r="301" spans="6:7" x14ac:dyDescent="0.25">
      <c r="F301" s="7">
        <v>-1.5778098347504892</v>
      </c>
      <c r="G301" s="7">
        <v>0</v>
      </c>
    </row>
    <row r="302" spans="6:7" x14ac:dyDescent="0.25">
      <c r="F302" s="7">
        <v>-0.59693780519497686</v>
      </c>
      <c r="G302" s="7">
        <v>0</v>
      </c>
    </row>
    <row r="303" spans="6:7" x14ac:dyDescent="0.25">
      <c r="F303" s="7">
        <v>1.215434878856833</v>
      </c>
      <c r="G303" s="7">
        <v>1</v>
      </c>
    </row>
    <row r="304" spans="6:7" x14ac:dyDescent="0.25">
      <c r="F304" s="7">
        <v>-0.37039121968850058</v>
      </c>
      <c r="G304" s="7">
        <v>0</v>
      </c>
    </row>
    <row r="305" spans="6:7" x14ac:dyDescent="0.25">
      <c r="F305" s="7">
        <v>0.85445405579706324</v>
      </c>
      <c r="G305" s="7">
        <v>1</v>
      </c>
    </row>
    <row r="306" spans="6:7" x14ac:dyDescent="0.25">
      <c r="F306" s="7">
        <v>0.47853609523137186</v>
      </c>
      <c r="G306" s="7">
        <v>0</v>
      </c>
    </row>
    <row r="307" spans="6:7" x14ac:dyDescent="0.25">
      <c r="F307" s="7">
        <v>0.29431139932500661</v>
      </c>
      <c r="G307" s="7">
        <v>1</v>
      </c>
    </row>
    <row r="308" spans="6:7" x14ac:dyDescent="0.25">
      <c r="F308" s="7">
        <v>0.27190569306612433</v>
      </c>
      <c r="G308" s="7">
        <v>1</v>
      </c>
    </row>
    <row r="309" spans="6:7" x14ac:dyDescent="0.25">
      <c r="F309" s="7">
        <v>2.5299029793779257</v>
      </c>
      <c r="G309" s="7">
        <v>1</v>
      </c>
    </row>
    <row r="310" spans="6:7" x14ac:dyDescent="0.25">
      <c r="F310" s="7">
        <v>1.1656444205037613</v>
      </c>
      <c r="G310" s="7">
        <v>1</v>
      </c>
    </row>
    <row r="311" spans="6:7" x14ac:dyDescent="0.25">
      <c r="F311" s="7">
        <v>-0.72390347399530963</v>
      </c>
      <c r="G311" s="7">
        <v>0</v>
      </c>
    </row>
    <row r="312" spans="6:7" x14ac:dyDescent="0.25">
      <c r="F312" s="7">
        <v>-0.65419683230100922</v>
      </c>
      <c r="G312" s="7">
        <v>0</v>
      </c>
    </row>
    <row r="313" spans="6:7" x14ac:dyDescent="0.25">
      <c r="F313" s="7">
        <v>0.48351514106667903</v>
      </c>
      <c r="G313" s="7">
        <v>1</v>
      </c>
    </row>
    <row r="314" spans="6:7" x14ac:dyDescent="0.25">
      <c r="F314" s="7">
        <v>-0.34051694467665755</v>
      </c>
      <c r="G314" s="7">
        <v>0</v>
      </c>
    </row>
    <row r="315" spans="6:7" x14ac:dyDescent="0.25">
      <c r="F315" s="7">
        <v>0.29929044516031378</v>
      </c>
      <c r="G315" s="7">
        <v>0</v>
      </c>
    </row>
    <row r="316" spans="6:7" x14ac:dyDescent="0.25">
      <c r="F316" s="7">
        <v>-0.52972068641833003</v>
      </c>
      <c r="G316" s="7">
        <v>0</v>
      </c>
    </row>
    <row r="317" spans="6:7" x14ac:dyDescent="0.25">
      <c r="F317" s="7">
        <v>1.1756025121743756</v>
      </c>
      <c r="G317" s="7">
        <v>1</v>
      </c>
    </row>
    <row r="318" spans="6:7" x14ac:dyDescent="0.25">
      <c r="F318" s="7">
        <v>1.2054767871862186</v>
      </c>
      <c r="G318" s="7">
        <v>1</v>
      </c>
    </row>
    <row r="319" spans="6:7" x14ac:dyDescent="0.25">
      <c r="F319" s="7">
        <v>0.57313796610220813</v>
      </c>
      <c r="G319" s="7">
        <v>1</v>
      </c>
    </row>
    <row r="320" spans="6:7" x14ac:dyDescent="0.25">
      <c r="F320" s="7">
        <v>-0.6068958968655912</v>
      </c>
      <c r="G320" s="7">
        <v>0</v>
      </c>
    </row>
    <row r="321" spans="6:7" x14ac:dyDescent="0.25">
      <c r="F321" s="7">
        <v>-1.087373819972733</v>
      </c>
      <c r="G321" s="7">
        <v>0</v>
      </c>
    </row>
    <row r="322" spans="6:7" x14ac:dyDescent="0.25">
      <c r="F322" s="7">
        <v>-5.6711332064148877E-2</v>
      </c>
      <c r="G322" s="7">
        <v>0</v>
      </c>
    </row>
    <row r="323" spans="6:7" x14ac:dyDescent="0.25">
      <c r="F323" s="7">
        <v>-0.77618345526603494</v>
      </c>
      <c r="G323" s="7">
        <v>0</v>
      </c>
    </row>
    <row r="324" spans="6:7" x14ac:dyDescent="0.25">
      <c r="F324" s="7">
        <v>-0.83842152820737459</v>
      </c>
      <c r="G324" s="7">
        <v>0</v>
      </c>
    </row>
    <row r="325" spans="6:7" x14ac:dyDescent="0.25">
      <c r="F325" s="7">
        <v>0.26692664723081716</v>
      </c>
      <c r="G325" s="7">
        <v>0</v>
      </c>
    </row>
    <row r="326" spans="6:7" x14ac:dyDescent="0.25">
      <c r="F326" s="7">
        <v>-0.45005595305341528</v>
      </c>
      <c r="G326" s="7">
        <v>0</v>
      </c>
    </row>
    <row r="327" spans="6:7" x14ac:dyDescent="0.25">
      <c r="F327" s="7">
        <v>-0.70896633648938812</v>
      </c>
      <c r="G327" s="7">
        <v>0</v>
      </c>
    </row>
    <row r="328" spans="6:7" x14ac:dyDescent="0.25">
      <c r="F328" s="7">
        <v>0.2121571430424383</v>
      </c>
      <c r="G328" s="7">
        <v>0</v>
      </c>
    </row>
    <row r="329" spans="6:7" x14ac:dyDescent="0.25">
      <c r="F329" s="7">
        <v>-0.94796053658413226</v>
      </c>
      <c r="G329" s="7">
        <v>0</v>
      </c>
    </row>
    <row r="330" spans="6:7" x14ac:dyDescent="0.25">
      <c r="F330" s="7">
        <v>0.70010363490254091</v>
      </c>
      <c r="G330" s="7">
        <v>1</v>
      </c>
    </row>
    <row r="331" spans="6:7" x14ac:dyDescent="0.25">
      <c r="F331" s="7">
        <v>-0.26583125714705003</v>
      </c>
      <c r="G331" s="7">
        <v>0</v>
      </c>
    </row>
    <row r="332" spans="6:7" x14ac:dyDescent="0.25">
      <c r="F332" s="7">
        <v>1.6909337561286677</v>
      </c>
      <c r="G332" s="7">
        <v>1</v>
      </c>
    </row>
    <row r="333" spans="6:7" x14ac:dyDescent="0.25">
      <c r="F333" s="7">
        <v>-0.82348439070145307</v>
      </c>
      <c r="G333" s="7">
        <v>0</v>
      </c>
    </row>
    <row r="334" spans="6:7" x14ac:dyDescent="0.25">
      <c r="F334" s="7">
        <v>-0.59444828227732327</v>
      </c>
      <c r="G334" s="7">
        <v>0</v>
      </c>
    </row>
    <row r="335" spans="6:7" x14ac:dyDescent="0.25">
      <c r="F335" s="7">
        <v>-0.39030740302972927</v>
      </c>
      <c r="G335" s="7">
        <v>0</v>
      </c>
    </row>
    <row r="336" spans="6:7" x14ac:dyDescent="0.25">
      <c r="F336" s="7">
        <v>1.7108499394698964</v>
      </c>
      <c r="G336" s="7">
        <v>1</v>
      </c>
    </row>
    <row r="337" spans="6:7" x14ac:dyDescent="0.25">
      <c r="F337" s="7">
        <v>0.61794937861997268</v>
      </c>
      <c r="G337" s="7">
        <v>1</v>
      </c>
    </row>
    <row r="338" spans="6:7" x14ac:dyDescent="0.25">
      <c r="F338" s="7">
        <v>-1.1794861679259157</v>
      </c>
      <c r="G338" s="7">
        <v>0</v>
      </c>
    </row>
    <row r="339" spans="6:7" x14ac:dyDescent="0.25">
      <c r="F339" s="7">
        <v>-0.76373584067776701</v>
      </c>
      <c r="G339" s="7">
        <v>0</v>
      </c>
    </row>
    <row r="340" spans="6:7" x14ac:dyDescent="0.25">
      <c r="F340" s="7">
        <v>1.1830710809273364</v>
      </c>
      <c r="G340" s="7">
        <v>1</v>
      </c>
    </row>
    <row r="341" spans="6:7" x14ac:dyDescent="0.25">
      <c r="F341" s="7">
        <v>7.523338257149112E-2</v>
      </c>
      <c r="G341" s="7">
        <v>0</v>
      </c>
    </row>
    <row r="342" spans="6:7" x14ac:dyDescent="0.25">
      <c r="F342" s="7">
        <v>-0.53967877808894438</v>
      </c>
      <c r="G342" s="7">
        <v>0</v>
      </c>
    </row>
    <row r="343" spans="6:7" x14ac:dyDescent="0.25">
      <c r="F343" s="7">
        <v>-0.23844650505286058</v>
      </c>
      <c r="G343" s="7">
        <v>1</v>
      </c>
    </row>
    <row r="344" spans="6:7" x14ac:dyDescent="0.25">
      <c r="F344" s="7">
        <v>-0.12890749667610285</v>
      </c>
      <c r="G344" s="7">
        <v>0</v>
      </c>
    </row>
    <row r="345" spans="6:7" x14ac:dyDescent="0.25">
      <c r="F345" s="7">
        <v>-0.52723116350067645</v>
      </c>
      <c r="G345" s="7">
        <v>0</v>
      </c>
    </row>
    <row r="346" spans="6:7" x14ac:dyDescent="0.25">
      <c r="F346" s="7">
        <v>-1.0375833616196612</v>
      </c>
      <c r="G346" s="7">
        <v>0</v>
      </c>
    </row>
    <row r="347" spans="6:7" x14ac:dyDescent="0.25">
      <c r="F347" s="7">
        <v>-0.66664444688927715</v>
      </c>
      <c r="G347" s="7">
        <v>0</v>
      </c>
    </row>
    <row r="348" spans="6:7" x14ac:dyDescent="0.25">
      <c r="F348" s="7">
        <v>-1.0052195636901649</v>
      </c>
      <c r="G348" s="7">
        <v>0</v>
      </c>
    </row>
    <row r="349" spans="6:7" x14ac:dyDescent="0.25">
      <c r="F349" s="7">
        <v>-0.47744070514760473</v>
      </c>
      <c r="G349" s="7">
        <v>0</v>
      </c>
    </row>
    <row r="350" spans="6:7" x14ac:dyDescent="0.25">
      <c r="F350" s="7">
        <v>-0.81601582194849231</v>
      </c>
      <c r="G350" s="7">
        <v>0</v>
      </c>
    </row>
    <row r="351" spans="6:7" x14ac:dyDescent="0.25">
      <c r="F351" s="7">
        <v>-0.38781788011207569</v>
      </c>
      <c r="G351" s="7">
        <v>0</v>
      </c>
    </row>
    <row r="352" spans="6:7" x14ac:dyDescent="0.25">
      <c r="F352" s="7">
        <v>0.20717809720713112</v>
      </c>
      <c r="G352" s="7">
        <v>0</v>
      </c>
    </row>
    <row r="353" spans="6:7" x14ac:dyDescent="0.25">
      <c r="F353" s="7">
        <v>1.3747643455866625</v>
      </c>
      <c r="G353" s="7">
        <v>1</v>
      </c>
    </row>
    <row r="354" spans="6:7" x14ac:dyDescent="0.25">
      <c r="F354" s="7">
        <v>-0.65668635521866281</v>
      </c>
      <c r="G354" s="7">
        <v>0</v>
      </c>
    </row>
    <row r="355" spans="6:7" x14ac:dyDescent="0.25">
      <c r="F355" s="7">
        <v>-0.47495118222995114</v>
      </c>
      <c r="G355" s="7">
        <v>0</v>
      </c>
    </row>
    <row r="356" spans="6:7" x14ac:dyDescent="0.25">
      <c r="F356" s="7">
        <v>0.37895517852522848</v>
      </c>
      <c r="G356" s="7">
        <v>0</v>
      </c>
    </row>
    <row r="357" spans="6:7" x14ac:dyDescent="0.25">
      <c r="F357" s="7">
        <v>-0.95293958241943943</v>
      </c>
      <c r="G357" s="7">
        <v>0</v>
      </c>
    </row>
    <row r="358" spans="6:7" x14ac:dyDescent="0.25">
      <c r="F358" s="7">
        <v>2.6020991439898795</v>
      </c>
      <c r="G358" s="7">
        <v>1</v>
      </c>
    </row>
    <row r="359" spans="6:7" x14ac:dyDescent="0.25">
      <c r="F359" s="7">
        <v>-0.86829580321921762</v>
      </c>
      <c r="G359" s="7">
        <v>0</v>
      </c>
    </row>
    <row r="360" spans="6:7" x14ac:dyDescent="0.25">
      <c r="F360" s="7">
        <v>-0.54714734684190514</v>
      </c>
      <c r="G360" s="7">
        <v>0</v>
      </c>
    </row>
    <row r="361" spans="6:7" x14ac:dyDescent="0.25">
      <c r="F361" s="7">
        <v>-0.2708103029823572</v>
      </c>
      <c r="G361" s="7">
        <v>0</v>
      </c>
    </row>
    <row r="362" spans="6:7" x14ac:dyDescent="0.25">
      <c r="F362" s="7">
        <v>-1.1720175991729549</v>
      </c>
      <c r="G362" s="7">
        <v>0</v>
      </c>
    </row>
    <row r="363" spans="6:7" x14ac:dyDescent="0.25">
      <c r="F363" s="7">
        <v>-0.71892442816000246</v>
      </c>
      <c r="G363" s="7">
        <v>0</v>
      </c>
    </row>
    <row r="364" spans="6:7" x14ac:dyDescent="0.25">
      <c r="F364" s="7">
        <v>-0.46997213639464397</v>
      </c>
      <c r="G364" s="7">
        <v>0</v>
      </c>
    </row>
    <row r="365" spans="6:7" x14ac:dyDescent="0.25">
      <c r="F365" s="7">
        <v>-0.6591758781363164</v>
      </c>
      <c r="G365" s="7">
        <v>0</v>
      </c>
    </row>
    <row r="366" spans="6:7" x14ac:dyDescent="0.25">
      <c r="F366" s="7">
        <v>1.7974355465458669E-2</v>
      </c>
      <c r="G366" s="7">
        <v>0</v>
      </c>
    </row>
    <row r="367" spans="6:7" x14ac:dyDescent="0.25">
      <c r="F367" s="7">
        <v>-0.24342555088816775</v>
      </c>
      <c r="G367" s="7">
        <v>0</v>
      </c>
    </row>
    <row r="368" spans="6:7" x14ac:dyDescent="0.25">
      <c r="F368" s="7">
        <v>-0.11397035917018133</v>
      </c>
      <c r="G368" s="7">
        <v>0</v>
      </c>
    </row>
    <row r="369" spans="6:7" x14ac:dyDescent="0.25">
      <c r="F369" s="7">
        <v>-1.0375833616196612</v>
      </c>
      <c r="G369" s="7">
        <v>0</v>
      </c>
    </row>
    <row r="370" spans="6:7" x14ac:dyDescent="0.25">
      <c r="F370" s="7">
        <v>1.3523586393277802</v>
      </c>
      <c r="G370" s="7">
        <v>1</v>
      </c>
    </row>
    <row r="371" spans="6:7" x14ac:dyDescent="0.25">
      <c r="F371" s="7">
        <v>-1.1695280762553013</v>
      </c>
      <c r="G371" s="7">
        <v>0</v>
      </c>
    </row>
    <row r="372" spans="6:7" x14ac:dyDescent="0.25">
      <c r="F372" s="7">
        <v>-0.64174921771274129</v>
      </c>
      <c r="G372" s="7">
        <v>0</v>
      </c>
    </row>
    <row r="373" spans="6:7" x14ac:dyDescent="0.25">
      <c r="F373" s="7">
        <v>-0.24342555088816775</v>
      </c>
      <c r="G373" s="7">
        <v>0</v>
      </c>
    </row>
    <row r="374" spans="6:7" x14ac:dyDescent="0.25">
      <c r="F374" s="7">
        <v>0.32667519725450322</v>
      </c>
      <c r="G374" s="7">
        <v>1</v>
      </c>
    </row>
    <row r="375" spans="6:7" x14ac:dyDescent="0.25">
      <c r="F375" s="7">
        <v>1.3722748226690089</v>
      </c>
      <c r="G375" s="7">
        <v>1</v>
      </c>
    </row>
    <row r="376" spans="6:7" x14ac:dyDescent="0.25">
      <c r="F376" s="7">
        <v>9.763908883037338E-2</v>
      </c>
      <c r="G376" s="7">
        <v>0</v>
      </c>
    </row>
    <row r="377" spans="6:7" x14ac:dyDescent="0.25">
      <c r="F377" s="7">
        <v>-0.35545408218257907</v>
      </c>
      <c r="G377" s="7">
        <v>0</v>
      </c>
    </row>
    <row r="378" spans="6:7" x14ac:dyDescent="0.25">
      <c r="F378" s="7">
        <v>0.84449596412644889</v>
      </c>
      <c r="G378" s="7">
        <v>1</v>
      </c>
    </row>
    <row r="379" spans="6:7" x14ac:dyDescent="0.25">
      <c r="F379" s="7">
        <v>0.59056462652578323</v>
      </c>
      <c r="G379" s="7">
        <v>1</v>
      </c>
    </row>
    <row r="380" spans="6:7" x14ac:dyDescent="0.25">
      <c r="F380" s="7">
        <v>0.22709428054835981</v>
      </c>
      <c r="G380" s="7">
        <v>1</v>
      </c>
    </row>
    <row r="381" spans="6:7" x14ac:dyDescent="0.25">
      <c r="F381" s="7">
        <v>-1.1222271408198832</v>
      </c>
      <c r="G381" s="7">
        <v>0</v>
      </c>
    </row>
    <row r="382" spans="6:7" x14ac:dyDescent="0.25">
      <c r="F382" s="7">
        <v>2.5398610710485401</v>
      </c>
      <c r="G382" s="7">
        <v>1</v>
      </c>
    </row>
    <row r="383" spans="6:7" x14ac:dyDescent="0.25">
      <c r="F383" s="7">
        <v>-0.61685398853620554</v>
      </c>
      <c r="G383" s="7">
        <v>0</v>
      </c>
    </row>
    <row r="384" spans="6:7" x14ac:dyDescent="0.25">
      <c r="F384" s="7">
        <v>-1.4389442464037935E-2</v>
      </c>
      <c r="G384" s="7">
        <v>0</v>
      </c>
    </row>
    <row r="385" spans="6:7" x14ac:dyDescent="0.25">
      <c r="F385" s="7">
        <v>-0.38283883427676851</v>
      </c>
      <c r="G385" s="7">
        <v>0</v>
      </c>
    </row>
    <row r="386" spans="6:7" x14ac:dyDescent="0.25">
      <c r="F386" s="7">
        <v>1.3797433914219697</v>
      </c>
      <c r="G386" s="7">
        <v>1</v>
      </c>
    </row>
    <row r="387" spans="6:7" x14ac:dyDescent="0.25">
      <c r="F387" s="7">
        <v>-0.71643490524234887</v>
      </c>
      <c r="G387" s="7">
        <v>0</v>
      </c>
    </row>
    <row r="388" spans="6:7" x14ac:dyDescent="0.25">
      <c r="F388" s="7">
        <v>1.8079413332583862</v>
      </c>
      <c r="G388" s="7">
        <v>1</v>
      </c>
    </row>
    <row r="389" spans="6:7" x14ac:dyDescent="0.25">
      <c r="F389" s="7">
        <v>1.6137585456814065</v>
      </c>
      <c r="G389" s="7">
        <v>1</v>
      </c>
    </row>
    <row r="390" spans="6:7" x14ac:dyDescent="0.25">
      <c r="F390" s="7">
        <v>-1.0998214345610009</v>
      </c>
      <c r="G390" s="7">
        <v>0</v>
      </c>
    </row>
    <row r="391" spans="6:7" x14ac:dyDescent="0.25">
      <c r="F391" s="7">
        <v>-1.3562422950793203</v>
      </c>
      <c r="G391" s="7">
        <v>0</v>
      </c>
    </row>
    <row r="392" spans="6:7" x14ac:dyDescent="0.25">
      <c r="F392" s="7">
        <v>0.26941617014847075</v>
      </c>
      <c r="G392" s="7">
        <v>1</v>
      </c>
    </row>
    <row r="393" spans="6:7" x14ac:dyDescent="0.25">
      <c r="F393" s="7">
        <v>0.36401804101930696</v>
      </c>
      <c r="G393" s="7">
        <v>1</v>
      </c>
    </row>
    <row r="394" spans="6:7" x14ac:dyDescent="0.25">
      <c r="F394" s="7">
        <v>-0.55710543851251948</v>
      </c>
      <c r="G394" s="7">
        <v>0</v>
      </c>
    </row>
    <row r="395" spans="6:7" x14ac:dyDescent="0.25">
      <c r="F395" s="7">
        <v>1.5216461977282241</v>
      </c>
      <c r="G395" s="7">
        <v>1</v>
      </c>
    </row>
    <row r="396" spans="6:7" x14ac:dyDescent="0.25">
      <c r="F396" s="7">
        <v>1.5813947477519099</v>
      </c>
      <c r="G396" s="7">
        <v>1</v>
      </c>
    </row>
    <row r="397" spans="6:7" x14ac:dyDescent="0.25">
      <c r="F397" s="7">
        <v>-0.80356820736022438</v>
      </c>
      <c r="G397" s="7">
        <v>0</v>
      </c>
    </row>
    <row r="398" spans="6:7" x14ac:dyDescent="0.25">
      <c r="F398" s="7">
        <v>1.5465414269047599</v>
      </c>
      <c r="G398" s="7">
        <v>1</v>
      </c>
    </row>
    <row r="399" spans="6:7" x14ac:dyDescent="0.25">
      <c r="F399" s="7">
        <v>0.79221598285572359</v>
      </c>
      <c r="G399" s="7">
        <v>1</v>
      </c>
    </row>
    <row r="400" spans="6:7" x14ac:dyDescent="0.25">
      <c r="F400" s="7">
        <v>0.13996097843048433</v>
      </c>
      <c r="G400" s="7">
        <v>0</v>
      </c>
    </row>
    <row r="401" spans="6:7" x14ac:dyDescent="0.25">
      <c r="F401" s="7">
        <v>0.32169615141919605</v>
      </c>
      <c r="G401" s="7">
        <v>1</v>
      </c>
    </row>
    <row r="402" spans="6:7" x14ac:dyDescent="0.25">
      <c r="F402" s="7">
        <v>-1.1023109574786545</v>
      </c>
      <c r="G402" s="7">
        <v>0</v>
      </c>
    </row>
    <row r="403" spans="6:7" x14ac:dyDescent="0.25">
      <c r="F403" s="7">
        <v>0.69263506614958015</v>
      </c>
      <c r="G403" s="7">
        <v>1</v>
      </c>
    </row>
    <row r="404" spans="6:7" x14ac:dyDescent="0.25">
      <c r="F404" s="7">
        <v>-0.71394538232469529</v>
      </c>
      <c r="G404" s="7">
        <v>0</v>
      </c>
    </row>
    <row r="405" spans="6:7" x14ac:dyDescent="0.25">
      <c r="F405" s="7">
        <v>0.28186378473673868</v>
      </c>
      <c r="G405" s="7">
        <v>0</v>
      </c>
    </row>
    <row r="406" spans="6:7" x14ac:dyDescent="0.25">
      <c r="F406" s="7">
        <v>0.25696855556020282</v>
      </c>
      <c r="G406" s="7">
        <v>0</v>
      </c>
    </row>
    <row r="407" spans="6:7" x14ac:dyDescent="0.25">
      <c r="F407" s="7">
        <v>1.563968087328335</v>
      </c>
      <c r="G407" s="7">
        <v>1</v>
      </c>
    </row>
    <row r="408" spans="6:7" x14ac:dyDescent="0.25">
      <c r="F408" s="7">
        <v>-0.6243225572891663</v>
      </c>
      <c r="G408" s="7">
        <v>0</v>
      </c>
    </row>
    <row r="409" spans="6:7" x14ac:dyDescent="0.25">
      <c r="F409" s="7">
        <v>-1.159569984584687</v>
      </c>
      <c r="G409" s="7">
        <v>0</v>
      </c>
    </row>
    <row r="410" spans="6:7" x14ac:dyDescent="0.25">
      <c r="F410" s="7">
        <v>-0.34300646759431114</v>
      </c>
      <c r="G410" s="7">
        <v>0</v>
      </c>
    </row>
    <row r="411" spans="6:7" x14ac:dyDescent="0.25">
      <c r="F411" s="7">
        <v>1.2975891351394013</v>
      </c>
      <c r="G411" s="7">
        <v>1</v>
      </c>
    </row>
    <row r="412" spans="6:7" x14ac:dyDescent="0.25">
      <c r="F412" s="7">
        <v>-0.90065960114871413</v>
      </c>
      <c r="G412" s="7">
        <v>0</v>
      </c>
    </row>
    <row r="413" spans="6:7" x14ac:dyDescent="0.25">
      <c r="F413" s="7">
        <v>-0.98779290326658964</v>
      </c>
      <c r="G413" s="7">
        <v>0</v>
      </c>
    </row>
    <row r="414" spans="6:7" x14ac:dyDescent="0.25">
      <c r="F414" s="7">
        <v>1.5484832547805083E-2</v>
      </c>
      <c r="G414" s="7">
        <v>0</v>
      </c>
    </row>
    <row r="415" spans="6:7" x14ac:dyDescent="0.25">
      <c r="F415" s="7">
        <v>-0.572042576018441</v>
      </c>
      <c r="G415" s="7">
        <v>0</v>
      </c>
    </row>
    <row r="416" spans="6:7" x14ac:dyDescent="0.25">
      <c r="F416" s="7">
        <v>-1.0674576366315043</v>
      </c>
      <c r="G416" s="7">
        <v>0</v>
      </c>
    </row>
    <row r="417" spans="6:7" x14ac:dyDescent="0.25">
      <c r="F417" s="7">
        <v>-0.70398729065408094</v>
      </c>
      <c r="G417" s="7">
        <v>0</v>
      </c>
    </row>
    <row r="418" spans="6:7" x14ac:dyDescent="0.25">
      <c r="F418" s="7">
        <v>-0.81103677611318514</v>
      </c>
      <c r="G418" s="7">
        <v>0</v>
      </c>
    </row>
    <row r="419" spans="6:7" x14ac:dyDescent="0.25">
      <c r="F419" s="7">
        <v>0.76483123076153414</v>
      </c>
      <c r="G419" s="7">
        <v>1</v>
      </c>
    </row>
    <row r="420" spans="6:7" x14ac:dyDescent="0.25">
      <c r="F420" s="7">
        <v>-0.66664444688927715</v>
      </c>
      <c r="G420" s="7">
        <v>0</v>
      </c>
    </row>
    <row r="421" spans="6:7" x14ac:dyDescent="0.25">
      <c r="F421" s="7">
        <v>-0.58200066768905534</v>
      </c>
      <c r="G421" s="7">
        <v>0</v>
      </c>
    </row>
    <row r="422" spans="6:7" x14ac:dyDescent="0.25">
      <c r="F422" s="7">
        <v>0.37646565560757489</v>
      </c>
      <c r="G422" s="7">
        <v>0</v>
      </c>
    </row>
    <row r="423" spans="6:7" x14ac:dyDescent="0.25">
      <c r="F423" s="7">
        <v>-0.70398729065408094</v>
      </c>
      <c r="G423" s="7">
        <v>0</v>
      </c>
    </row>
    <row r="424" spans="6:7" x14ac:dyDescent="0.25">
      <c r="F424" s="7">
        <v>-1.219318534608373</v>
      </c>
      <c r="G424" s="7">
        <v>0</v>
      </c>
    </row>
    <row r="425" spans="6:7" x14ac:dyDescent="0.25">
      <c r="F425" s="7">
        <v>0.19473048261886319</v>
      </c>
      <c r="G425" s="7">
        <v>0</v>
      </c>
    </row>
    <row r="426" spans="6:7" x14ac:dyDescent="0.25">
      <c r="F426" s="7">
        <v>-0.17122938627621379</v>
      </c>
      <c r="G426" s="7">
        <v>0</v>
      </c>
    </row>
    <row r="427" spans="6:7" x14ac:dyDescent="0.25">
      <c r="F427" s="7">
        <v>-0.61436446561855196</v>
      </c>
      <c r="G427" s="7">
        <v>0</v>
      </c>
    </row>
    <row r="428" spans="6:7" x14ac:dyDescent="0.25">
      <c r="F428" s="7">
        <v>0.43372468271360737</v>
      </c>
      <c r="G428" s="7">
        <v>1</v>
      </c>
    </row>
    <row r="429" spans="6:7" x14ac:dyDescent="0.25">
      <c r="F429" s="7">
        <v>0.79719502869103076</v>
      </c>
      <c r="G429" s="7">
        <v>1</v>
      </c>
    </row>
    <row r="430" spans="6:7" x14ac:dyDescent="0.25">
      <c r="F430" s="7">
        <v>-0.44507690721810811</v>
      </c>
      <c r="G430" s="7">
        <v>0</v>
      </c>
    </row>
    <row r="431" spans="6:7" x14ac:dyDescent="0.25">
      <c r="F431" s="7">
        <v>0.15489811593640584</v>
      </c>
      <c r="G431" s="7">
        <v>0</v>
      </c>
    </row>
    <row r="432" spans="6:7" x14ac:dyDescent="0.25">
      <c r="F432" s="7">
        <v>-0.76622536359542059</v>
      </c>
      <c r="G432" s="7">
        <v>0</v>
      </c>
    </row>
    <row r="433" spans="6:7" x14ac:dyDescent="0.25">
      <c r="F433" s="7">
        <v>-0.56706353018313382</v>
      </c>
      <c r="G433" s="7">
        <v>0</v>
      </c>
    </row>
    <row r="434" spans="6:7" x14ac:dyDescent="0.25">
      <c r="F434" s="7">
        <v>-0.12890749667610285</v>
      </c>
      <c r="G434" s="7">
        <v>1</v>
      </c>
    </row>
    <row r="435" spans="6:7" x14ac:dyDescent="0.25">
      <c r="F435" s="7">
        <v>-0.9230653074075964</v>
      </c>
      <c r="G435" s="7">
        <v>0</v>
      </c>
    </row>
    <row r="436" spans="6:7" x14ac:dyDescent="0.25">
      <c r="F436" s="7">
        <v>1.5664576102459884</v>
      </c>
      <c r="G436" s="7">
        <v>1</v>
      </c>
    </row>
    <row r="437" spans="6:7" x14ac:dyDescent="0.25">
      <c r="F437" s="7">
        <v>-0.93800244491351792</v>
      </c>
      <c r="G437" s="7">
        <v>0</v>
      </c>
    </row>
    <row r="438" spans="6:7" x14ac:dyDescent="0.25">
      <c r="F438" s="7">
        <v>-1.4608022576207709</v>
      </c>
      <c r="G438" s="7">
        <v>0</v>
      </c>
    </row>
    <row r="439" spans="6:7" x14ac:dyDescent="0.25">
      <c r="F439" s="7">
        <v>-0.85833771154860328</v>
      </c>
      <c r="G439" s="7">
        <v>0</v>
      </c>
    </row>
    <row r="440" spans="6:7" x14ac:dyDescent="0.25">
      <c r="F440" s="7">
        <v>-0.12143892792314209</v>
      </c>
      <c r="G440" s="7">
        <v>0</v>
      </c>
    </row>
    <row r="441" spans="6:7" x14ac:dyDescent="0.25">
      <c r="F441" s="7">
        <v>-1.2392347179496017</v>
      </c>
      <c r="G441" s="7">
        <v>0</v>
      </c>
    </row>
    <row r="442" spans="6:7" x14ac:dyDescent="0.25">
      <c r="F442" s="7">
        <v>0.30924853683092812</v>
      </c>
      <c r="G442" s="7">
        <v>1</v>
      </c>
    </row>
    <row r="443" spans="6:7" x14ac:dyDescent="0.25">
      <c r="F443" s="7">
        <v>2.0170612583412875</v>
      </c>
      <c r="G443" s="7">
        <v>1</v>
      </c>
    </row>
    <row r="444" spans="6:7" x14ac:dyDescent="0.25">
      <c r="F444" s="7">
        <v>-0.17620843211152096</v>
      </c>
      <c r="G444" s="7">
        <v>0</v>
      </c>
    </row>
    <row r="445" spans="6:7" x14ac:dyDescent="0.25">
      <c r="F445" s="7">
        <v>-1.0276252699490469</v>
      </c>
      <c r="G445" s="7">
        <v>0</v>
      </c>
    </row>
    <row r="446" spans="6:7" x14ac:dyDescent="0.25">
      <c r="F446" s="7">
        <v>-0.84837961987798893</v>
      </c>
      <c r="G446" s="7">
        <v>0</v>
      </c>
    </row>
    <row r="447" spans="6:7" x14ac:dyDescent="0.25">
      <c r="F447" s="7">
        <v>0.40882945353707151</v>
      </c>
      <c r="G447" s="7">
        <v>1</v>
      </c>
    </row>
    <row r="448" spans="6:7" x14ac:dyDescent="0.25">
      <c r="F448" s="7">
        <v>0.22211523471305264</v>
      </c>
      <c r="G448" s="7">
        <v>0</v>
      </c>
    </row>
    <row r="449" spans="6:7" x14ac:dyDescent="0.25">
      <c r="F449" s="7">
        <v>-0.93053387616055716</v>
      </c>
      <c r="G449" s="7">
        <v>0</v>
      </c>
    </row>
    <row r="450" spans="6:7" x14ac:dyDescent="0.25">
      <c r="F450" s="7">
        <v>-1.2143394887730659</v>
      </c>
      <c r="G450" s="7">
        <v>0</v>
      </c>
    </row>
    <row r="451" spans="6:7" x14ac:dyDescent="0.25">
      <c r="F451" s="7">
        <v>-0.3056636238295074</v>
      </c>
      <c r="G451" s="7">
        <v>0</v>
      </c>
    </row>
    <row r="452" spans="6:7" x14ac:dyDescent="0.25">
      <c r="F452" s="7">
        <v>-0.71643490524234887</v>
      </c>
      <c r="G452" s="7">
        <v>0</v>
      </c>
    </row>
    <row r="453" spans="6:7" x14ac:dyDescent="0.25">
      <c r="F453" s="7">
        <v>0.83453787245583455</v>
      </c>
      <c r="G453" s="7">
        <v>1</v>
      </c>
    </row>
    <row r="454" spans="6:7" x14ac:dyDescent="0.25">
      <c r="F454" s="7">
        <v>-1.1197376179022296</v>
      </c>
      <c r="G454" s="7">
        <v>0</v>
      </c>
    </row>
    <row r="455" spans="6:7" x14ac:dyDescent="0.25">
      <c r="F455" s="7">
        <v>0.74989409325561263</v>
      </c>
      <c r="G455" s="7">
        <v>1</v>
      </c>
    </row>
    <row r="456" spans="6:7" x14ac:dyDescent="0.25">
      <c r="F456" s="7">
        <v>-4.4313507934235965E-3</v>
      </c>
      <c r="G456" s="7">
        <v>1</v>
      </c>
    </row>
    <row r="457" spans="6:7" x14ac:dyDescent="0.25">
      <c r="F457" s="7">
        <v>0.2594580784778564</v>
      </c>
      <c r="G457" s="7">
        <v>0</v>
      </c>
    </row>
    <row r="458" spans="6:7" x14ac:dyDescent="0.25">
      <c r="F458" s="7">
        <v>-0.54216830100659796</v>
      </c>
      <c r="G458" s="7">
        <v>0</v>
      </c>
    </row>
    <row r="459" spans="6:7" x14ac:dyDescent="0.25">
      <c r="F459" s="7">
        <v>-0.55959496143017307</v>
      </c>
      <c r="G459" s="7">
        <v>0</v>
      </c>
    </row>
    <row r="460" spans="6:7" x14ac:dyDescent="0.25">
      <c r="F460" s="7">
        <v>1.1332806225742647</v>
      </c>
      <c r="G460" s="7">
        <v>1</v>
      </c>
    </row>
    <row r="461" spans="6:7" x14ac:dyDescent="0.25">
      <c r="F461" s="7">
        <v>-0.49237784265352624</v>
      </c>
      <c r="G461" s="7">
        <v>0</v>
      </c>
    </row>
    <row r="462" spans="6:7" x14ac:dyDescent="0.25">
      <c r="F462" s="7">
        <v>2.1514954958945811</v>
      </c>
      <c r="G462" s="7">
        <v>1</v>
      </c>
    </row>
    <row r="463" spans="6:7" x14ac:dyDescent="0.25">
      <c r="F463" s="7">
        <v>-0.61187494270089837</v>
      </c>
      <c r="G463" s="7">
        <v>0</v>
      </c>
    </row>
    <row r="464" spans="6:7" x14ac:dyDescent="0.25">
      <c r="F464" s="7">
        <v>-0.13637606542906361</v>
      </c>
      <c r="G464" s="7">
        <v>0</v>
      </c>
    </row>
    <row r="465" spans="6:7" x14ac:dyDescent="0.25">
      <c r="F465" s="7">
        <v>0.23954189513662774</v>
      </c>
      <c r="G465" s="7">
        <v>1</v>
      </c>
    </row>
    <row r="466" spans="6:7" x14ac:dyDescent="0.25">
      <c r="F466" s="7">
        <v>1.6062899769284458</v>
      </c>
      <c r="G466" s="7">
        <v>1</v>
      </c>
    </row>
    <row r="467" spans="6:7" x14ac:dyDescent="0.25">
      <c r="F467" s="7">
        <v>-1.0251357470313933</v>
      </c>
      <c r="G467" s="7">
        <v>0</v>
      </c>
    </row>
    <row r="468" spans="6:7" x14ac:dyDescent="0.25">
      <c r="F468" s="7">
        <v>0.79470550577337717</v>
      </c>
      <c r="G468" s="7">
        <v>1</v>
      </c>
    </row>
    <row r="469" spans="6:7" x14ac:dyDescent="0.25">
      <c r="F469" s="7">
        <v>0.67520840572600505</v>
      </c>
      <c r="G469" s="7">
        <v>1</v>
      </c>
    </row>
    <row r="470" spans="6:7" x14ac:dyDescent="0.25">
      <c r="F470" s="7">
        <v>0.69761411198488732</v>
      </c>
      <c r="G470" s="7">
        <v>0</v>
      </c>
    </row>
    <row r="471" spans="6:7" x14ac:dyDescent="0.25">
      <c r="F471" s="7">
        <v>0.30924853683092812</v>
      </c>
      <c r="G471" s="7">
        <v>0</v>
      </c>
    </row>
    <row r="472" spans="6:7" x14ac:dyDescent="0.25">
      <c r="F472" s="7">
        <v>0.60052271819639758</v>
      </c>
      <c r="G472" s="7">
        <v>1</v>
      </c>
    </row>
    <row r="473" spans="6:7" x14ac:dyDescent="0.25">
      <c r="F473" s="7">
        <v>0.38144470144288206</v>
      </c>
      <c r="G473" s="7">
        <v>0</v>
      </c>
    </row>
    <row r="474" spans="6:7" x14ac:dyDescent="0.25">
      <c r="F474" s="7">
        <v>-1.0823947741374258</v>
      </c>
      <c r="G474" s="7">
        <v>0</v>
      </c>
    </row>
    <row r="475" spans="6:7" x14ac:dyDescent="0.25">
      <c r="F475" s="7">
        <v>-0.69153967606581301</v>
      </c>
      <c r="G475" s="7">
        <v>0</v>
      </c>
    </row>
    <row r="476" spans="6:7" x14ac:dyDescent="0.25">
      <c r="F476" s="7">
        <v>3.6551673381573462</v>
      </c>
      <c r="G476" s="7">
        <v>1</v>
      </c>
    </row>
    <row r="477" spans="6:7" x14ac:dyDescent="0.25">
      <c r="F477" s="7">
        <v>-1.0699471595491579</v>
      </c>
      <c r="G477" s="7">
        <v>0</v>
      </c>
    </row>
    <row r="478" spans="6:7" x14ac:dyDescent="0.25">
      <c r="F478" s="7">
        <v>1.1183434850683431</v>
      </c>
      <c r="G478" s="7">
        <v>1</v>
      </c>
    </row>
    <row r="479" spans="6:7" x14ac:dyDescent="0.25">
      <c r="F479" s="7">
        <v>-0.52225211766536928</v>
      </c>
      <c r="G479" s="7">
        <v>0</v>
      </c>
    </row>
    <row r="480" spans="6:7" x14ac:dyDescent="0.25">
      <c r="F480" s="7">
        <v>-1.0848842970550794</v>
      </c>
      <c r="G480" s="7">
        <v>0</v>
      </c>
    </row>
    <row r="481" spans="6:7" x14ac:dyDescent="0.25">
      <c r="F481" s="7">
        <v>-0.54963686975955872</v>
      </c>
      <c r="G481" s="7">
        <v>0</v>
      </c>
    </row>
    <row r="482" spans="6:7" x14ac:dyDescent="0.25">
      <c r="F482" s="7">
        <v>-0.96538719700770736</v>
      </c>
      <c r="G482" s="7">
        <v>0</v>
      </c>
    </row>
    <row r="483" spans="6:7" x14ac:dyDescent="0.25">
      <c r="F483" s="7">
        <v>-1.3512632492440131</v>
      </c>
      <c r="G483" s="7">
        <v>0</v>
      </c>
    </row>
    <row r="484" spans="6:7" x14ac:dyDescent="0.25">
      <c r="F484" s="7">
        <v>-1.1023109574786545</v>
      </c>
      <c r="G484" s="7">
        <v>0</v>
      </c>
    </row>
    <row r="485" spans="6:7" x14ac:dyDescent="0.25">
      <c r="F485" s="7">
        <v>1.100916824644768</v>
      </c>
      <c r="G485" s="7">
        <v>1</v>
      </c>
    </row>
    <row r="486" spans="6:7" x14ac:dyDescent="0.25">
      <c r="F486" s="7">
        <v>0.19224095970120961</v>
      </c>
      <c r="G486" s="7">
        <v>0</v>
      </c>
    </row>
    <row r="487" spans="6:7" x14ac:dyDescent="0.25">
      <c r="F487" s="7">
        <v>-6.9208737110771816E-3</v>
      </c>
      <c r="G487" s="7">
        <v>1</v>
      </c>
    </row>
    <row r="488" spans="6:7" x14ac:dyDescent="0.25">
      <c r="F488" s="7">
        <v>-0.23346745921755341</v>
      </c>
      <c r="G488" s="7">
        <v>0</v>
      </c>
    </row>
    <row r="489" spans="6:7" x14ac:dyDescent="0.25">
      <c r="F489" s="7">
        <v>1.461897647704538</v>
      </c>
      <c r="G489" s="7">
        <v>1</v>
      </c>
    </row>
    <row r="490" spans="6:7" x14ac:dyDescent="0.25">
      <c r="F490" s="7">
        <v>-0.86580628030156404</v>
      </c>
      <c r="G490" s="7">
        <v>0</v>
      </c>
    </row>
    <row r="491" spans="6:7" x14ac:dyDescent="0.25">
      <c r="F491" s="7">
        <v>1.1307910996566111</v>
      </c>
      <c r="G491" s="7">
        <v>1</v>
      </c>
    </row>
    <row r="492" spans="6:7" x14ac:dyDescent="0.25">
      <c r="F492" s="7">
        <v>1.7954937186701183</v>
      </c>
      <c r="G492" s="7">
        <v>1</v>
      </c>
    </row>
    <row r="493" spans="6:7" x14ac:dyDescent="0.25">
      <c r="F493" s="7">
        <v>-0.17122938627621379</v>
      </c>
      <c r="G493" s="7">
        <v>0</v>
      </c>
    </row>
    <row r="494" spans="6:7" x14ac:dyDescent="0.25">
      <c r="F494" s="7">
        <v>-0.47744070514760473</v>
      </c>
      <c r="G494" s="7">
        <v>0</v>
      </c>
    </row>
    <row r="495" spans="6:7" x14ac:dyDescent="0.25">
      <c r="F495" s="7">
        <v>-0.99775099493720398</v>
      </c>
      <c r="G495" s="7">
        <v>0</v>
      </c>
    </row>
    <row r="496" spans="6:7" x14ac:dyDescent="0.25">
      <c r="F496" s="7">
        <v>-0.36292265093553983</v>
      </c>
      <c r="G496" s="7">
        <v>0</v>
      </c>
    </row>
    <row r="497" spans="6:7" x14ac:dyDescent="0.25">
      <c r="F497" s="7">
        <v>-9.6543698746606246E-2</v>
      </c>
      <c r="G497" s="7">
        <v>0</v>
      </c>
    </row>
    <row r="498" spans="6:7" x14ac:dyDescent="0.25">
      <c r="F498" s="7">
        <v>-0.3056636238295074</v>
      </c>
      <c r="G498" s="7">
        <v>0</v>
      </c>
    </row>
    <row r="499" spans="6:7" x14ac:dyDescent="0.25">
      <c r="F499" s="7">
        <v>-0.79361011568961004</v>
      </c>
      <c r="G499" s="7">
        <v>0</v>
      </c>
    </row>
    <row r="500" spans="6:7" x14ac:dyDescent="0.25">
      <c r="F500" s="7">
        <v>-0.74630918025419191</v>
      </c>
      <c r="G500" s="7">
        <v>0</v>
      </c>
    </row>
    <row r="501" spans="6:7" x14ac:dyDescent="0.25">
      <c r="F501" s="7">
        <v>1.7033813707169356</v>
      </c>
      <c r="G501" s="7">
        <v>1</v>
      </c>
    </row>
    <row r="502" spans="6:7" x14ac:dyDescent="0.25">
      <c r="F502" s="7">
        <v>-0.4201816780415723</v>
      </c>
      <c r="G502" s="7">
        <v>0</v>
      </c>
    </row>
    <row r="503" spans="6:7" x14ac:dyDescent="0.25">
      <c r="F503" s="7">
        <v>-1.117248094984576</v>
      </c>
      <c r="G503" s="7">
        <v>0</v>
      </c>
    </row>
    <row r="504" spans="6:7" x14ac:dyDescent="0.25">
      <c r="F504" s="7">
        <v>-0.83095295945441383</v>
      </c>
      <c r="G504" s="7">
        <v>0</v>
      </c>
    </row>
    <row r="505" spans="6:7" x14ac:dyDescent="0.25">
      <c r="F505" s="7">
        <v>-1.2865356533850199</v>
      </c>
      <c r="G505" s="7">
        <v>0</v>
      </c>
    </row>
    <row r="506" spans="6:7" x14ac:dyDescent="0.25">
      <c r="F506" s="7">
        <v>0.71255124949080884</v>
      </c>
      <c r="G506" s="7">
        <v>0</v>
      </c>
    </row>
    <row r="507" spans="6:7" x14ac:dyDescent="0.25">
      <c r="F507" s="7">
        <v>-7.9117038323031144E-2</v>
      </c>
      <c r="G507" s="7">
        <v>1</v>
      </c>
    </row>
    <row r="508" spans="6:7" x14ac:dyDescent="0.25">
      <c r="F508" s="7">
        <v>-0.55212639267721231</v>
      </c>
      <c r="G508" s="7">
        <v>0</v>
      </c>
    </row>
    <row r="509" spans="6:7" x14ac:dyDescent="0.25">
      <c r="F509" s="7">
        <v>-0.53718925517129079</v>
      </c>
      <c r="G509" s="7">
        <v>0</v>
      </c>
    </row>
    <row r="510" spans="6:7" x14ac:dyDescent="0.25">
      <c r="F510" s="7">
        <v>-0.24342555088816775</v>
      </c>
      <c r="G510" s="7">
        <v>0</v>
      </c>
    </row>
    <row r="511" spans="6:7" x14ac:dyDescent="0.25">
      <c r="F511" s="7">
        <v>0.63537603904354778</v>
      </c>
      <c r="G511" s="7">
        <v>1</v>
      </c>
    </row>
    <row r="512" spans="6:7" x14ac:dyDescent="0.25">
      <c r="F512" s="7">
        <v>1.0859796871388465</v>
      </c>
      <c r="G512" s="7">
        <v>1</v>
      </c>
    </row>
    <row r="513" spans="6:7" x14ac:dyDescent="0.25">
      <c r="F513" s="7">
        <v>-0.32806933008838962</v>
      </c>
      <c r="G513" s="7">
        <v>0</v>
      </c>
    </row>
    <row r="514" spans="6:7" x14ac:dyDescent="0.25">
      <c r="F514" s="7">
        <v>7.0254336736183948E-2</v>
      </c>
      <c r="G514" s="7">
        <v>1</v>
      </c>
    </row>
    <row r="515" spans="6:7" x14ac:dyDescent="0.25">
      <c r="F515" s="7">
        <v>-0.84837961987798893</v>
      </c>
      <c r="G515" s="7">
        <v>0</v>
      </c>
    </row>
    <row r="516" spans="6:7" x14ac:dyDescent="0.25">
      <c r="F516" s="7">
        <v>0.90673403706778855</v>
      </c>
      <c r="G516" s="7">
        <v>1</v>
      </c>
    </row>
    <row r="517" spans="6:7" x14ac:dyDescent="0.25">
      <c r="F517" s="7">
        <v>-1.2740880387967519</v>
      </c>
      <c r="G517" s="7">
        <v>0</v>
      </c>
    </row>
    <row r="518" spans="6:7" x14ac:dyDescent="0.25">
      <c r="F518" s="7">
        <v>0.15240859301875226</v>
      </c>
      <c r="G518" s="7">
        <v>0</v>
      </c>
    </row>
    <row r="519" spans="6:7" x14ac:dyDescent="0.25">
      <c r="F519" s="7">
        <v>-0.65668635521866281</v>
      </c>
      <c r="G519" s="7">
        <v>0</v>
      </c>
    </row>
    <row r="520" spans="6:7" x14ac:dyDescent="0.25">
      <c r="F520" s="7">
        <v>1.0884692100565001</v>
      </c>
      <c r="G520" s="7">
        <v>1</v>
      </c>
    </row>
    <row r="521" spans="6:7" x14ac:dyDescent="0.25">
      <c r="F521" s="7">
        <v>-0.42267120095922589</v>
      </c>
      <c r="G521" s="7">
        <v>0</v>
      </c>
    </row>
    <row r="522" spans="6:7" x14ac:dyDescent="0.25">
      <c r="F522" s="7">
        <v>-0.38283883427676851</v>
      </c>
      <c r="G522" s="7">
        <v>0</v>
      </c>
    </row>
    <row r="523" spans="6:7" x14ac:dyDescent="0.25">
      <c r="F523" s="7">
        <v>0.48600466398433262</v>
      </c>
      <c r="G523" s="7">
        <v>1</v>
      </c>
    </row>
    <row r="524" spans="6:7" x14ac:dyDescent="0.25">
      <c r="F524" s="7">
        <v>-0.6940291989834666</v>
      </c>
      <c r="G524" s="7">
        <v>0</v>
      </c>
    </row>
    <row r="525" spans="6:7" x14ac:dyDescent="0.25">
      <c r="F525" s="7">
        <v>0.31422758266623529</v>
      </c>
      <c r="G525" s="7">
        <v>0</v>
      </c>
    </row>
    <row r="526" spans="6:7" x14ac:dyDescent="0.25">
      <c r="F526" s="7">
        <v>1.1183434850683431</v>
      </c>
      <c r="G526" s="7">
        <v>1</v>
      </c>
    </row>
    <row r="527" spans="6:7" x14ac:dyDescent="0.25">
      <c r="F527" s="7">
        <v>-0.9230653074075964</v>
      </c>
      <c r="G527" s="7">
        <v>0</v>
      </c>
    </row>
    <row r="528" spans="6:7" x14ac:dyDescent="0.25">
      <c r="F528" s="7">
        <v>-1.1620595075023405</v>
      </c>
      <c r="G528" s="7">
        <v>0</v>
      </c>
    </row>
    <row r="529" spans="6:7" x14ac:dyDescent="0.25">
      <c r="F529" s="7">
        <v>-0.46001404472402962</v>
      </c>
      <c r="G529" s="7">
        <v>0</v>
      </c>
    </row>
    <row r="530" spans="6:7" x14ac:dyDescent="0.25">
      <c r="F530" s="7">
        <v>-0.45005595305341528</v>
      </c>
      <c r="G530" s="7">
        <v>0</v>
      </c>
    </row>
    <row r="531" spans="6:7" x14ac:dyDescent="0.25">
      <c r="F531" s="7">
        <v>1.5540099956577207</v>
      </c>
      <c r="G531" s="7">
        <v>1</v>
      </c>
    </row>
    <row r="532" spans="6:7" x14ac:dyDescent="0.25">
      <c r="F532" s="7">
        <v>0.58807510360812965</v>
      </c>
      <c r="G532" s="7">
        <v>1</v>
      </c>
    </row>
    <row r="533" spans="6:7" x14ac:dyDescent="0.25">
      <c r="F533" s="7">
        <v>-7.1648469570070386E-2</v>
      </c>
      <c r="G533" s="7">
        <v>0</v>
      </c>
    </row>
    <row r="534" spans="6:7" x14ac:dyDescent="0.25">
      <c r="F534" s="7">
        <v>0.46857800356075752</v>
      </c>
      <c r="G534" s="7">
        <v>1</v>
      </c>
    </row>
    <row r="535" spans="6:7" x14ac:dyDescent="0.25">
      <c r="F535" s="7">
        <v>0.14991907010109867</v>
      </c>
      <c r="G535" s="7">
        <v>0</v>
      </c>
    </row>
    <row r="536" spans="6:7" x14ac:dyDescent="0.25">
      <c r="F536" s="7">
        <v>0.2295838034660134</v>
      </c>
      <c r="G536" s="7">
        <v>0</v>
      </c>
    </row>
    <row r="537" spans="6:7" x14ac:dyDescent="0.25">
      <c r="F537" s="7">
        <v>0.68018745156131222</v>
      </c>
      <c r="G537" s="7">
        <v>1</v>
      </c>
    </row>
    <row r="538" spans="6:7" x14ac:dyDescent="0.25">
      <c r="F538" s="7">
        <v>-0.43013976971218665</v>
      </c>
      <c r="G538" s="7">
        <v>0</v>
      </c>
    </row>
    <row r="539" spans="6:7" x14ac:dyDescent="0.25">
      <c r="F539" s="7">
        <v>0.20717809720713112</v>
      </c>
      <c r="G539" s="7">
        <v>0</v>
      </c>
    </row>
    <row r="540" spans="6:7" x14ac:dyDescent="0.25">
      <c r="F540" s="7">
        <v>0.11755527217160207</v>
      </c>
      <c r="G540" s="7">
        <v>0</v>
      </c>
    </row>
    <row r="541" spans="6:7" x14ac:dyDescent="0.25">
      <c r="F541" s="7">
        <v>0.17979334511294168</v>
      </c>
      <c r="G541" s="7">
        <v>0</v>
      </c>
    </row>
    <row r="542" spans="6:7" x14ac:dyDescent="0.25">
      <c r="F542" s="7">
        <v>-0.9056386469840213</v>
      </c>
      <c r="G542" s="7">
        <v>0</v>
      </c>
    </row>
    <row r="543" spans="6:7" x14ac:dyDescent="0.25">
      <c r="F543" s="7">
        <v>1.3822329143396233</v>
      </c>
      <c r="G543" s="7">
        <v>1</v>
      </c>
    </row>
    <row r="544" spans="6:7" x14ac:dyDescent="0.25">
      <c r="F544" s="7">
        <v>0.26941617014847075</v>
      </c>
      <c r="G544" s="7">
        <v>0</v>
      </c>
    </row>
    <row r="545" spans="6:7" x14ac:dyDescent="0.25">
      <c r="F545" s="7">
        <v>-1.3139204054792093</v>
      </c>
      <c r="G545" s="7">
        <v>0</v>
      </c>
    </row>
    <row r="546" spans="6:7" x14ac:dyDescent="0.25">
      <c r="F546" s="7">
        <v>-0.58449019060670893</v>
      </c>
      <c r="G546" s="7">
        <v>0</v>
      </c>
    </row>
    <row r="547" spans="6:7" x14ac:dyDescent="0.25">
      <c r="F547" s="7">
        <v>0.29929044516031378</v>
      </c>
      <c r="G547" s="7">
        <v>1</v>
      </c>
    </row>
    <row r="548" spans="6:7" x14ac:dyDescent="0.25">
      <c r="F548" s="7">
        <v>-0.98530338034893605</v>
      </c>
      <c r="G548" s="7">
        <v>0</v>
      </c>
    </row>
    <row r="549" spans="6:7" x14ac:dyDescent="0.25">
      <c r="F549" s="7">
        <v>1.6560804352815175</v>
      </c>
      <c r="G549" s="7">
        <v>1</v>
      </c>
    </row>
    <row r="550" spans="6:7" x14ac:dyDescent="0.25">
      <c r="F550" s="7">
        <v>-0.53718925517129079</v>
      </c>
      <c r="G550" s="7">
        <v>0</v>
      </c>
    </row>
    <row r="551" spans="6:7" x14ac:dyDescent="0.25">
      <c r="F551" s="7">
        <v>-0.499846411406487</v>
      </c>
      <c r="G551" s="7">
        <v>0</v>
      </c>
    </row>
    <row r="552" spans="6:7" x14ac:dyDescent="0.25">
      <c r="F552" s="7">
        <v>2.1066840833768166</v>
      </c>
      <c r="G552" s="7">
        <v>1</v>
      </c>
    </row>
    <row r="553" spans="6:7" x14ac:dyDescent="0.25">
      <c r="F553" s="7">
        <v>-0.94796053658413226</v>
      </c>
      <c r="G553" s="7">
        <v>0</v>
      </c>
    </row>
    <row r="554" spans="6:7" x14ac:dyDescent="0.25">
      <c r="F554" s="7">
        <v>-0.53221020933598362</v>
      </c>
      <c r="G554" s="7">
        <v>0</v>
      </c>
    </row>
    <row r="555" spans="6:7" x14ac:dyDescent="0.25">
      <c r="F555" s="7">
        <v>-0.46001404472402962</v>
      </c>
      <c r="G555" s="7">
        <v>0</v>
      </c>
    </row>
    <row r="556" spans="6:7" x14ac:dyDescent="0.25">
      <c r="F556" s="7">
        <v>-0.37537026552380776</v>
      </c>
      <c r="G556" s="7">
        <v>0</v>
      </c>
    </row>
    <row r="557" spans="6:7" x14ac:dyDescent="0.25">
      <c r="F557" s="7">
        <v>1.4370024185280021</v>
      </c>
      <c r="G557" s="7">
        <v>1</v>
      </c>
    </row>
    <row r="558" spans="6:7" x14ac:dyDescent="0.25">
      <c r="F558" s="7">
        <v>0.2768847389014315</v>
      </c>
      <c r="G558" s="7">
        <v>1</v>
      </c>
    </row>
    <row r="559" spans="6:7" x14ac:dyDescent="0.25">
      <c r="F559" s="7">
        <v>-8.6585607075991902E-2</v>
      </c>
      <c r="G559" s="7">
        <v>0</v>
      </c>
    </row>
    <row r="560" spans="6:7" x14ac:dyDescent="0.25">
      <c r="F560" s="7">
        <v>-0.84340057404268176</v>
      </c>
      <c r="G560" s="7">
        <v>0</v>
      </c>
    </row>
    <row r="561" spans="6:7" x14ac:dyDescent="0.25">
      <c r="F561" s="7">
        <v>-1.4184803680206599</v>
      </c>
      <c r="G561" s="7">
        <v>0</v>
      </c>
    </row>
    <row r="562" spans="6:7" x14ac:dyDescent="0.25">
      <c r="F562" s="7">
        <v>0.95154544958555298</v>
      </c>
      <c r="G562" s="7">
        <v>1</v>
      </c>
    </row>
    <row r="563" spans="6:7" x14ac:dyDescent="0.25">
      <c r="F563" s="7">
        <v>4.7181936239954272</v>
      </c>
      <c r="G563" s="7">
        <v>1</v>
      </c>
    </row>
    <row r="564" spans="6:7" x14ac:dyDescent="0.25">
      <c r="F564" s="7">
        <v>0.63288651612589419</v>
      </c>
      <c r="G564" s="7">
        <v>1</v>
      </c>
    </row>
    <row r="565" spans="6:7" x14ac:dyDescent="0.25">
      <c r="F565" s="7">
        <v>-0.83842152820737459</v>
      </c>
      <c r="G565" s="7">
        <v>0</v>
      </c>
    </row>
    <row r="566" spans="6:7" x14ac:dyDescent="0.25">
      <c r="F566" s="7">
        <v>0.40136088478411075</v>
      </c>
      <c r="G566" s="7">
        <v>1</v>
      </c>
    </row>
    <row r="567" spans="6:7" x14ac:dyDescent="0.25">
      <c r="F567" s="7">
        <v>-1.5529146055739533</v>
      </c>
      <c r="G567" s="7">
        <v>0</v>
      </c>
    </row>
    <row r="568" spans="6:7" x14ac:dyDescent="0.25">
      <c r="F568" s="7">
        <v>-0.70647681357173453</v>
      </c>
      <c r="G568" s="7">
        <v>0</v>
      </c>
    </row>
    <row r="569" spans="6:7" x14ac:dyDescent="0.25">
      <c r="F569" s="7">
        <v>-0.64423874063039488</v>
      </c>
      <c r="G569" s="7">
        <v>0</v>
      </c>
    </row>
    <row r="570" spans="6:7" x14ac:dyDescent="0.25">
      <c r="F570" s="7">
        <v>-1.0251357470313933</v>
      </c>
      <c r="G570" s="7">
        <v>0</v>
      </c>
    </row>
    <row r="571" spans="6:7" x14ac:dyDescent="0.25">
      <c r="F571" s="7">
        <v>-0.31562171550012169</v>
      </c>
      <c r="G571" s="7">
        <v>0</v>
      </c>
    </row>
    <row r="572" spans="6:7" x14ac:dyDescent="0.25">
      <c r="F572" s="7">
        <v>-0.11645988208783492</v>
      </c>
      <c r="G572" s="7">
        <v>0</v>
      </c>
    </row>
    <row r="573" spans="6:7" x14ac:dyDescent="0.25">
      <c r="F573" s="7">
        <v>6.0296245065569611E-2</v>
      </c>
      <c r="G573" s="7">
        <v>0</v>
      </c>
    </row>
    <row r="574" spans="6:7" x14ac:dyDescent="0.25">
      <c r="F574" s="7">
        <v>0.45861991189014323</v>
      </c>
      <c r="G574" s="7">
        <v>1</v>
      </c>
    </row>
    <row r="575" spans="6:7" x14ac:dyDescent="0.25">
      <c r="F575" s="7">
        <v>-1.1321852324904975</v>
      </c>
      <c r="G575" s="7">
        <v>0</v>
      </c>
    </row>
    <row r="576" spans="6:7" x14ac:dyDescent="0.25">
      <c r="F576" s="7">
        <v>-0.75626727192480625</v>
      </c>
      <c r="G576" s="7">
        <v>0</v>
      </c>
    </row>
    <row r="577" spans="6:7" x14ac:dyDescent="0.25">
      <c r="F577" s="7">
        <v>-0.19114556961744247</v>
      </c>
      <c r="G577" s="7">
        <v>0</v>
      </c>
    </row>
    <row r="578" spans="6:7" x14ac:dyDescent="0.25">
      <c r="F578" s="7">
        <v>-0.89568055531340696</v>
      </c>
      <c r="G578" s="7">
        <v>0</v>
      </c>
    </row>
    <row r="579" spans="6:7" x14ac:dyDescent="0.25">
      <c r="F579" s="7">
        <v>0.74491504742030545</v>
      </c>
      <c r="G579" s="7">
        <v>1</v>
      </c>
    </row>
    <row r="580" spans="6:7" x14ac:dyDescent="0.25">
      <c r="F580" s="7">
        <v>0.43123515979595378</v>
      </c>
      <c r="G580" s="7">
        <v>1</v>
      </c>
    </row>
    <row r="581" spans="6:7" x14ac:dyDescent="0.25">
      <c r="F581" s="7">
        <v>-1.3662003867499346</v>
      </c>
      <c r="G581" s="7">
        <v>0</v>
      </c>
    </row>
    <row r="582" spans="6:7" x14ac:dyDescent="0.25">
      <c r="F582" s="7">
        <v>-0.82597391361910666</v>
      </c>
      <c r="G582" s="7">
        <v>0</v>
      </c>
    </row>
    <row r="583" spans="6:7" x14ac:dyDescent="0.25">
      <c r="F583" s="7">
        <v>2.7514705190490947</v>
      </c>
      <c r="G583" s="7">
        <v>1</v>
      </c>
    </row>
    <row r="584" spans="6:7" x14ac:dyDescent="0.25">
      <c r="F584" s="7">
        <v>-1.1147585720669224</v>
      </c>
      <c r="G584" s="7">
        <v>0</v>
      </c>
    </row>
    <row r="585" spans="6:7" x14ac:dyDescent="0.25">
      <c r="F585" s="7">
        <v>-1.1247166637375368</v>
      </c>
      <c r="G585" s="7">
        <v>0</v>
      </c>
    </row>
    <row r="586" spans="6:7" x14ac:dyDescent="0.25">
      <c r="F586" s="7">
        <v>-0.34051694467665755</v>
      </c>
      <c r="G586" s="7">
        <v>0</v>
      </c>
    </row>
    <row r="587" spans="6:7" x14ac:dyDescent="0.25">
      <c r="F587" s="7">
        <v>-1.2267871033613338</v>
      </c>
      <c r="G587" s="7">
        <v>0</v>
      </c>
    </row>
    <row r="588" spans="6:7" x14ac:dyDescent="0.25">
      <c r="F588" s="7">
        <v>-1.3512632492440131</v>
      </c>
      <c r="G588" s="7">
        <v>0</v>
      </c>
    </row>
    <row r="589" spans="6:7" x14ac:dyDescent="0.25">
      <c r="F589" s="7">
        <v>0.34659138059573186</v>
      </c>
      <c r="G589" s="7">
        <v>1</v>
      </c>
    </row>
    <row r="590" spans="6:7" x14ac:dyDescent="0.25">
      <c r="F590" s="7">
        <v>1.6311852061049816</v>
      </c>
      <c r="G590" s="7">
        <v>1</v>
      </c>
    </row>
    <row r="591" spans="6:7" x14ac:dyDescent="0.25">
      <c r="F591" s="7">
        <v>0.26194760139550999</v>
      </c>
      <c r="G591" s="7">
        <v>0</v>
      </c>
    </row>
    <row r="592" spans="6:7" x14ac:dyDescent="0.25">
      <c r="F592" s="7">
        <v>-0.18865604669978889</v>
      </c>
      <c r="G592" s="7">
        <v>0</v>
      </c>
    </row>
    <row r="593" spans="6:7" x14ac:dyDescent="0.25">
      <c r="F593" s="7">
        <v>0.55571130567863303</v>
      </c>
      <c r="G593" s="7">
        <v>0</v>
      </c>
    </row>
    <row r="594" spans="6:7" x14ac:dyDescent="0.25">
      <c r="F594" s="7">
        <v>-0.37039121968850058</v>
      </c>
      <c r="G594" s="7">
        <v>0</v>
      </c>
    </row>
    <row r="595" spans="6:7" x14ac:dyDescent="0.25">
      <c r="F595" s="7">
        <v>2.5442924218419424E-2</v>
      </c>
      <c r="G595" s="7">
        <v>0</v>
      </c>
    </row>
    <row r="596" spans="6:7" x14ac:dyDescent="0.25">
      <c r="F596" s="7">
        <v>-1.3139204054792093</v>
      </c>
      <c r="G596" s="7">
        <v>0</v>
      </c>
    </row>
    <row r="597" spans="6:7" x14ac:dyDescent="0.25">
      <c r="F597" s="7">
        <v>-1.0624785907961971</v>
      </c>
      <c r="G597" s="7">
        <v>0</v>
      </c>
    </row>
    <row r="598" spans="6:7" x14ac:dyDescent="0.25">
      <c r="F598" s="7">
        <v>0.45613038897248964</v>
      </c>
      <c r="G598" s="7">
        <v>1</v>
      </c>
    </row>
    <row r="599" spans="6:7" x14ac:dyDescent="0.25">
      <c r="F599" s="7">
        <v>-1.4159908451030063</v>
      </c>
      <c r="G599" s="7">
        <v>0</v>
      </c>
    </row>
    <row r="600" spans="6:7" x14ac:dyDescent="0.25">
      <c r="F600" s="7">
        <v>1.0461473204563894</v>
      </c>
      <c r="G600" s="7">
        <v>1</v>
      </c>
    </row>
    <row r="601" spans="6:7" x14ac:dyDescent="0.25">
      <c r="F601" s="7">
        <v>1.100916824644768</v>
      </c>
      <c r="G601" s="7">
        <v>1</v>
      </c>
    </row>
    <row r="602" spans="6:7" x14ac:dyDescent="0.25">
      <c r="F602" s="7">
        <v>-1.3786480013382025</v>
      </c>
      <c r="G602" s="7">
        <v>0</v>
      </c>
    </row>
    <row r="603" spans="6:7" x14ac:dyDescent="0.25">
      <c r="F603" s="7">
        <v>5.5267408771907433E-3</v>
      </c>
      <c r="G603" s="7">
        <v>1</v>
      </c>
    </row>
    <row r="604" spans="6:7" x14ac:dyDescent="0.25">
      <c r="F604" s="7">
        <v>-1.147122369996419</v>
      </c>
      <c r="G604" s="7">
        <v>0</v>
      </c>
    </row>
    <row r="605" spans="6:7" x14ac:dyDescent="0.25">
      <c r="F605" s="7">
        <v>-0.79858916152491721</v>
      </c>
      <c r="G605" s="7">
        <v>0</v>
      </c>
    </row>
    <row r="606" spans="6:7" x14ac:dyDescent="0.25">
      <c r="F606" s="7">
        <v>1.4245548039397342</v>
      </c>
      <c r="G606" s="7">
        <v>1</v>
      </c>
    </row>
    <row r="607" spans="6:7" x14ac:dyDescent="0.25">
      <c r="F607" s="7">
        <v>-0.80605773027787797</v>
      </c>
      <c r="G607" s="7">
        <v>0</v>
      </c>
    </row>
    <row r="608" spans="6:7" x14ac:dyDescent="0.25">
      <c r="F608" s="7">
        <v>0.78474741410276283</v>
      </c>
      <c r="G608" s="7">
        <v>1</v>
      </c>
    </row>
    <row r="609" spans="6:7" x14ac:dyDescent="0.25">
      <c r="F609" s="7">
        <v>-5.4221809146495298E-2</v>
      </c>
      <c r="G609" s="7">
        <v>0</v>
      </c>
    </row>
    <row r="610" spans="6:7" x14ac:dyDescent="0.25">
      <c r="F610" s="7">
        <v>-1.0998214345610009</v>
      </c>
      <c r="G610" s="7">
        <v>0</v>
      </c>
    </row>
    <row r="611" spans="6:7" x14ac:dyDescent="0.25">
      <c r="F611" s="7">
        <v>0.21962571179539905</v>
      </c>
      <c r="G611" s="7">
        <v>0</v>
      </c>
    </row>
    <row r="612" spans="6:7" x14ac:dyDescent="0.25">
      <c r="F612" s="7">
        <v>1.2926100893040942</v>
      </c>
      <c r="G612" s="7">
        <v>1</v>
      </c>
    </row>
    <row r="613" spans="6:7" x14ac:dyDescent="0.25">
      <c r="F613" s="7">
        <v>-0.43262929262984023</v>
      </c>
      <c r="G613" s="7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1"/>
  <sheetViews>
    <sheetView topLeftCell="A168" workbookViewId="0">
      <selection activeCell="D9" sqref="D9"/>
    </sheetView>
  </sheetViews>
  <sheetFormatPr defaultRowHeight="15.75" x14ac:dyDescent="0.25"/>
  <sheetData>
    <row r="1" spans="1:3" x14ac:dyDescent="0.25">
      <c r="A1" s="2" t="s">
        <v>1</v>
      </c>
      <c r="B1" s="3" t="s">
        <v>0</v>
      </c>
      <c r="C1" s="3" t="s">
        <v>2</v>
      </c>
    </row>
    <row r="2" spans="1:3" x14ac:dyDescent="0.25">
      <c r="A2">
        <v>1</v>
      </c>
      <c r="B2">
        <v>624</v>
      </c>
    </row>
    <row r="3" spans="1:3" x14ac:dyDescent="0.25">
      <c r="A3">
        <v>2</v>
      </c>
      <c r="B3">
        <v>962</v>
      </c>
    </row>
    <row r="4" spans="1:3" x14ac:dyDescent="0.25">
      <c r="A4">
        <v>3</v>
      </c>
      <c r="B4">
        <v>196</v>
      </c>
    </row>
    <row r="5" spans="1:3" x14ac:dyDescent="0.25">
      <c r="A5">
        <v>4</v>
      </c>
      <c r="B5">
        <v>866</v>
      </c>
    </row>
    <row r="6" spans="1:3" x14ac:dyDescent="0.25">
      <c r="A6">
        <v>5</v>
      </c>
      <c r="B6">
        <v>656</v>
      </c>
    </row>
    <row r="7" spans="1:3" x14ac:dyDescent="0.25">
      <c r="A7">
        <v>6</v>
      </c>
      <c r="B7">
        <v>1616</v>
      </c>
    </row>
    <row r="8" spans="1:3" x14ac:dyDescent="0.25">
      <c r="A8">
        <v>7</v>
      </c>
      <c r="B8">
        <v>880</v>
      </c>
    </row>
    <row r="9" spans="1:3" x14ac:dyDescent="0.25">
      <c r="A9">
        <v>8</v>
      </c>
      <c r="B9">
        <v>1777</v>
      </c>
    </row>
    <row r="10" spans="1:3" x14ac:dyDescent="0.25">
      <c r="A10">
        <v>9</v>
      </c>
      <c r="B10">
        <v>821</v>
      </c>
    </row>
    <row r="11" spans="1:3" x14ac:dyDescent="0.25">
      <c r="A11">
        <v>10</v>
      </c>
      <c r="B11">
        <v>541</v>
      </c>
    </row>
    <row r="12" spans="1:3" x14ac:dyDescent="0.25">
      <c r="A12">
        <v>11</v>
      </c>
      <c r="B12">
        <v>2039</v>
      </c>
    </row>
    <row r="13" spans="1:3" x14ac:dyDescent="0.25">
      <c r="A13">
        <v>12</v>
      </c>
      <c r="B13">
        <v>902</v>
      </c>
    </row>
    <row r="14" spans="1:3" x14ac:dyDescent="0.25">
      <c r="A14">
        <v>13</v>
      </c>
      <c r="B14">
        <v>1143</v>
      </c>
    </row>
    <row r="15" spans="1:3" x14ac:dyDescent="0.25">
      <c r="A15">
        <v>14</v>
      </c>
      <c r="B15">
        <v>1097</v>
      </c>
    </row>
    <row r="16" spans="1:3" x14ac:dyDescent="0.25">
      <c r="A16">
        <v>15</v>
      </c>
      <c r="B16">
        <v>532</v>
      </c>
    </row>
    <row r="17" spans="1:2" x14ac:dyDescent="0.25">
      <c r="A17">
        <v>16</v>
      </c>
      <c r="B17">
        <v>214</v>
      </c>
    </row>
    <row r="18" spans="1:2" x14ac:dyDescent="0.25">
      <c r="A18">
        <v>17</v>
      </c>
      <c r="B18">
        <v>858</v>
      </c>
    </row>
    <row r="19" spans="1:2" x14ac:dyDescent="0.25">
      <c r="A19">
        <v>18</v>
      </c>
      <c r="B19">
        <v>466</v>
      </c>
    </row>
    <row r="20" spans="1:2" x14ac:dyDescent="0.25">
      <c r="A20">
        <v>19</v>
      </c>
      <c r="B20">
        <v>949</v>
      </c>
    </row>
    <row r="21" spans="1:2" x14ac:dyDescent="0.25">
      <c r="A21">
        <v>20</v>
      </c>
      <c r="B21">
        <v>998</v>
      </c>
    </row>
    <row r="22" spans="1:2" x14ac:dyDescent="0.25">
      <c r="A22">
        <v>21</v>
      </c>
      <c r="B22">
        <v>555</v>
      </c>
    </row>
    <row r="23" spans="1:2" x14ac:dyDescent="0.25">
      <c r="A23">
        <v>22</v>
      </c>
      <c r="B23">
        <v>69</v>
      </c>
    </row>
    <row r="24" spans="1:2" x14ac:dyDescent="0.25">
      <c r="A24">
        <v>23</v>
      </c>
      <c r="B24">
        <v>921</v>
      </c>
    </row>
    <row r="25" spans="1:2" x14ac:dyDescent="0.25">
      <c r="A25">
        <v>24</v>
      </c>
      <c r="B25">
        <v>489</v>
      </c>
    </row>
    <row r="26" spans="1:2" x14ac:dyDescent="0.25">
      <c r="A26">
        <v>25</v>
      </c>
      <c r="B26">
        <v>462</v>
      </c>
    </row>
    <row r="27" spans="1:2" x14ac:dyDescent="0.25">
      <c r="A27">
        <v>26</v>
      </c>
      <c r="B27">
        <v>710</v>
      </c>
    </row>
    <row r="28" spans="1:2" x14ac:dyDescent="0.25">
      <c r="A28">
        <v>27</v>
      </c>
      <c r="B28">
        <v>1015</v>
      </c>
    </row>
    <row r="29" spans="1:2" x14ac:dyDescent="0.25">
      <c r="A29">
        <v>28</v>
      </c>
      <c r="B29">
        <v>581</v>
      </c>
    </row>
    <row r="30" spans="1:2" x14ac:dyDescent="0.25">
      <c r="A30">
        <v>29</v>
      </c>
      <c r="B30">
        <v>639</v>
      </c>
    </row>
    <row r="31" spans="1:2" x14ac:dyDescent="0.25">
      <c r="A31">
        <v>30</v>
      </c>
      <c r="B31">
        <v>440</v>
      </c>
    </row>
    <row r="32" spans="1:2" x14ac:dyDescent="0.25">
      <c r="A32">
        <v>31</v>
      </c>
      <c r="B32">
        <v>187</v>
      </c>
    </row>
    <row r="33" spans="1:2" x14ac:dyDescent="0.25">
      <c r="A33">
        <v>32</v>
      </c>
      <c r="B33">
        <v>1044</v>
      </c>
    </row>
    <row r="34" spans="1:2" x14ac:dyDescent="0.25">
      <c r="A34">
        <v>33</v>
      </c>
      <c r="B34">
        <v>760</v>
      </c>
    </row>
    <row r="35" spans="1:2" x14ac:dyDescent="0.25">
      <c r="A35">
        <v>34</v>
      </c>
      <c r="B35">
        <v>592</v>
      </c>
    </row>
    <row r="36" spans="1:2" x14ac:dyDescent="0.25">
      <c r="A36">
        <v>35</v>
      </c>
      <c r="B36">
        <v>940</v>
      </c>
    </row>
    <row r="37" spans="1:2" x14ac:dyDescent="0.25">
      <c r="A37">
        <v>36</v>
      </c>
      <c r="B37">
        <v>86</v>
      </c>
    </row>
    <row r="38" spans="1:2" x14ac:dyDescent="0.25">
      <c r="A38">
        <v>37</v>
      </c>
      <c r="B38">
        <v>391</v>
      </c>
    </row>
    <row r="39" spans="1:2" x14ac:dyDescent="0.25">
      <c r="A39">
        <v>38</v>
      </c>
      <c r="B39">
        <v>654</v>
      </c>
    </row>
    <row r="40" spans="1:2" x14ac:dyDescent="0.25">
      <c r="A40">
        <v>39</v>
      </c>
      <c r="B40">
        <v>101</v>
      </c>
    </row>
    <row r="41" spans="1:2" x14ac:dyDescent="0.25">
      <c r="A41">
        <v>40</v>
      </c>
      <c r="B41">
        <v>321</v>
      </c>
    </row>
    <row r="42" spans="1:2" x14ac:dyDescent="0.25">
      <c r="A42">
        <v>41</v>
      </c>
      <c r="B42">
        <v>678</v>
      </c>
    </row>
    <row r="43" spans="1:2" x14ac:dyDescent="0.25">
      <c r="A43">
        <v>42</v>
      </c>
      <c r="B43">
        <v>763</v>
      </c>
    </row>
    <row r="44" spans="1:2" x14ac:dyDescent="0.25">
      <c r="A44">
        <v>43</v>
      </c>
      <c r="B44">
        <v>823</v>
      </c>
    </row>
    <row r="45" spans="1:2" x14ac:dyDescent="0.25">
      <c r="A45">
        <v>44</v>
      </c>
      <c r="B45">
        <v>509</v>
      </c>
    </row>
    <row r="46" spans="1:2" x14ac:dyDescent="0.25">
      <c r="A46">
        <v>45</v>
      </c>
      <c r="B46">
        <v>667</v>
      </c>
    </row>
    <row r="47" spans="1:2" x14ac:dyDescent="0.25">
      <c r="A47">
        <v>46</v>
      </c>
      <c r="B47">
        <v>695</v>
      </c>
    </row>
    <row r="48" spans="1:2" x14ac:dyDescent="0.25">
      <c r="A48">
        <v>47</v>
      </c>
      <c r="B48">
        <v>1497</v>
      </c>
    </row>
    <row r="49" spans="1:2" x14ac:dyDescent="0.25">
      <c r="A49">
        <v>48</v>
      </c>
      <c r="B49">
        <v>1239</v>
      </c>
    </row>
    <row r="50" spans="1:2" x14ac:dyDescent="0.25">
      <c r="A50">
        <v>49</v>
      </c>
      <c r="B50">
        <v>276</v>
      </c>
    </row>
    <row r="51" spans="1:2" x14ac:dyDescent="0.25">
      <c r="A51">
        <v>50</v>
      </c>
      <c r="B51">
        <v>1075</v>
      </c>
    </row>
    <row r="52" spans="1:2" x14ac:dyDescent="0.25">
      <c r="A52">
        <v>51</v>
      </c>
      <c r="B52">
        <v>1322</v>
      </c>
    </row>
    <row r="53" spans="1:2" x14ac:dyDescent="0.25">
      <c r="A53">
        <v>52</v>
      </c>
      <c r="B53">
        <v>1110</v>
      </c>
    </row>
    <row r="54" spans="1:2" x14ac:dyDescent="0.25">
      <c r="A54">
        <v>53</v>
      </c>
      <c r="B54">
        <v>1424</v>
      </c>
    </row>
    <row r="55" spans="1:2" x14ac:dyDescent="0.25">
      <c r="A55">
        <v>54</v>
      </c>
      <c r="B55">
        <v>211</v>
      </c>
    </row>
    <row r="56" spans="1:2" x14ac:dyDescent="0.25">
      <c r="A56">
        <v>55</v>
      </c>
      <c r="B56">
        <v>1364</v>
      </c>
    </row>
    <row r="57" spans="1:2" x14ac:dyDescent="0.25">
      <c r="A57">
        <v>56</v>
      </c>
      <c r="B57">
        <v>867</v>
      </c>
    </row>
    <row r="58" spans="1:2" x14ac:dyDescent="0.25">
      <c r="A58">
        <v>57</v>
      </c>
      <c r="B58">
        <v>407</v>
      </c>
    </row>
    <row r="59" spans="1:2" x14ac:dyDescent="0.25">
      <c r="A59">
        <v>58</v>
      </c>
      <c r="B59">
        <v>646</v>
      </c>
    </row>
    <row r="60" spans="1:2" x14ac:dyDescent="0.25">
      <c r="A60">
        <v>59</v>
      </c>
      <c r="B60">
        <v>395</v>
      </c>
    </row>
    <row r="61" spans="1:2" x14ac:dyDescent="0.25">
      <c r="A61">
        <v>60</v>
      </c>
      <c r="B61">
        <v>902</v>
      </c>
    </row>
    <row r="62" spans="1:2" x14ac:dyDescent="0.25">
      <c r="A62">
        <v>61</v>
      </c>
      <c r="B62">
        <v>427</v>
      </c>
    </row>
    <row r="63" spans="1:2" x14ac:dyDescent="0.25">
      <c r="A63">
        <v>62</v>
      </c>
      <c r="B63">
        <v>1228</v>
      </c>
    </row>
    <row r="64" spans="1:2" x14ac:dyDescent="0.25">
      <c r="A64">
        <v>63</v>
      </c>
      <c r="B64">
        <v>1008</v>
      </c>
    </row>
    <row r="65" spans="1:2" x14ac:dyDescent="0.25">
      <c r="A65">
        <v>64</v>
      </c>
      <c r="B65">
        <v>537</v>
      </c>
    </row>
    <row r="66" spans="1:2" x14ac:dyDescent="0.25">
      <c r="A66">
        <v>65</v>
      </c>
      <c r="B66">
        <v>444</v>
      </c>
    </row>
    <row r="67" spans="1:2" x14ac:dyDescent="0.25">
      <c r="A67">
        <v>66</v>
      </c>
      <c r="B67">
        <v>451</v>
      </c>
    </row>
    <row r="68" spans="1:2" x14ac:dyDescent="0.25">
      <c r="A68">
        <v>67</v>
      </c>
      <c r="B68">
        <v>857</v>
      </c>
    </row>
    <row r="69" spans="1:2" x14ac:dyDescent="0.25">
      <c r="A69">
        <v>68</v>
      </c>
      <c r="B69">
        <v>118</v>
      </c>
    </row>
    <row r="70" spans="1:2" x14ac:dyDescent="0.25">
      <c r="A70">
        <v>69</v>
      </c>
      <c r="B70">
        <v>688</v>
      </c>
    </row>
    <row r="71" spans="1:2" x14ac:dyDescent="0.25">
      <c r="A71">
        <v>70</v>
      </c>
      <c r="B71">
        <v>1564</v>
      </c>
    </row>
    <row r="72" spans="1:2" x14ac:dyDescent="0.25">
      <c r="A72">
        <v>71</v>
      </c>
      <c r="B72">
        <v>2754</v>
      </c>
    </row>
    <row r="73" spans="1:2" x14ac:dyDescent="0.25">
      <c r="A73">
        <v>72</v>
      </c>
      <c r="B73">
        <v>1011</v>
      </c>
    </row>
    <row r="74" spans="1:2" x14ac:dyDescent="0.25">
      <c r="A74">
        <v>73</v>
      </c>
      <c r="B74">
        <v>435</v>
      </c>
    </row>
    <row r="75" spans="1:2" x14ac:dyDescent="0.25">
      <c r="A75">
        <v>74</v>
      </c>
      <c r="B75">
        <v>795</v>
      </c>
    </row>
    <row r="76" spans="1:2" x14ac:dyDescent="0.25">
      <c r="A76">
        <v>75</v>
      </c>
      <c r="B76">
        <v>1064</v>
      </c>
    </row>
    <row r="77" spans="1:2" x14ac:dyDescent="0.25">
      <c r="A77">
        <v>76</v>
      </c>
      <c r="B77">
        <v>1307</v>
      </c>
    </row>
    <row r="78" spans="1:2" x14ac:dyDescent="0.25">
      <c r="A78">
        <v>77</v>
      </c>
      <c r="B78">
        <v>443</v>
      </c>
    </row>
    <row r="79" spans="1:2" x14ac:dyDescent="0.25">
      <c r="A79">
        <v>78</v>
      </c>
      <c r="B79">
        <v>1104</v>
      </c>
    </row>
    <row r="80" spans="1:2" x14ac:dyDescent="0.25">
      <c r="A80">
        <v>79</v>
      </c>
      <c r="B80">
        <v>564</v>
      </c>
    </row>
    <row r="81" spans="1:2" x14ac:dyDescent="0.25">
      <c r="A81">
        <v>80</v>
      </c>
      <c r="B81">
        <v>1106</v>
      </c>
    </row>
    <row r="82" spans="1:2" x14ac:dyDescent="0.25">
      <c r="A82">
        <v>81</v>
      </c>
      <c r="B82">
        <v>305</v>
      </c>
    </row>
    <row r="83" spans="1:2" x14ac:dyDescent="0.25">
      <c r="A83">
        <v>82</v>
      </c>
      <c r="B83">
        <v>660</v>
      </c>
    </row>
    <row r="84" spans="1:2" x14ac:dyDescent="0.25">
      <c r="A84">
        <v>83</v>
      </c>
      <c r="B84">
        <v>407</v>
      </c>
    </row>
    <row r="85" spans="1:2" x14ac:dyDescent="0.25">
      <c r="A85">
        <v>84</v>
      </c>
      <c r="B85">
        <v>1329</v>
      </c>
    </row>
    <row r="86" spans="1:2" x14ac:dyDescent="0.25">
      <c r="A86">
        <v>85</v>
      </c>
      <c r="B86">
        <v>1085</v>
      </c>
    </row>
    <row r="87" spans="1:2" x14ac:dyDescent="0.25">
      <c r="A87">
        <v>86</v>
      </c>
      <c r="B87">
        <v>513</v>
      </c>
    </row>
    <row r="88" spans="1:2" x14ac:dyDescent="0.25">
      <c r="A88">
        <v>87</v>
      </c>
      <c r="B88">
        <v>429</v>
      </c>
    </row>
    <row r="89" spans="1:2" x14ac:dyDescent="0.25">
      <c r="A89">
        <v>88</v>
      </c>
      <c r="B89">
        <v>1327</v>
      </c>
    </row>
    <row r="90" spans="1:2" x14ac:dyDescent="0.25">
      <c r="A90">
        <v>89</v>
      </c>
      <c r="B90">
        <v>1023</v>
      </c>
    </row>
    <row r="91" spans="1:2" x14ac:dyDescent="0.25">
      <c r="A91">
        <v>90</v>
      </c>
      <c r="B91">
        <v>94</v>
      </c>
    </row>
    <row r="92" spans="1:2" x14ac:dyDescent="0.25">
      <c r="A92">
        <v>91</v>
      </c>
      <c r="B92">
        <v>988</v>
      </c>
    </row>
    <row r="93" spans="1:2" x14ac:dyDescent="0.25">
      <c r="A93">
        <v>92</v>
      </c>
      <c r="B93">
        <v>1323</v>
      </c>
    </row>
    <row r="94" spans="1:2" x14ac:dyDescent="0.25">
      <c r="A94">
        <v>93</v>
      </c>
      <c r="B94">
        <v>1050</v>
      </c>
    </row>
    <row r="95" spans="1:2" x14ac:dyDescent="0.25">
      <c r="A95">
        <v>94</v>
      </c>
      <c r="B95">
        <v>794</v>
      </c>
    </row>
    <row r="96" spans="1:2" x14ac:dyDescent="0.25">
      <c r="A96">
        <v>95</v>
      </c>
      <c r="B96">
        <v>769</v>
      </c>
    </row>
    <row r="97" spans="1:2" x14ac:dyDescent="0.25">
      <c r="A97">
        <v>96</v>
      </c>
      <c r="B97">
        <v>834</v>
      </c>
    </row>
    <row r="98" spans="1:2" x14ac:dyDescent="0.25">
      <c r="A98">
        <v>97</v>
      </c>
      <c r="B98">
        <v>603</v>
      </c>
    </row>
    <row r="99" spans="1:2" x14ac:dyDescent="0.25">
      <c r="A99">
        <v>98</v>
      </c>
      <c r="B99">
        <v>488</v>
      </c>
    </row>
    <row r="100" spans="1:2" x14ac:dyDescent="0.25">
      <c r="A100">
        <v>99</v>
      </c>
      <c r="B100">
        <v>608</v>
      </c>
    </row>
    <row r="101" spans="1:2" x14ac:dyDescent="0.25">
      <c r="A101">
        <v>100</v>
      </c>
      <c r="B101">
        <v>168</v>
      </c>
    </row>
    <row r="102" spans="1:2" x14ac:dyDescent="0.25">
      <c r="A102">
        <v>101</v>
      </c>
      <c r="B102">
        <v>1015</v>
      </c>
    </row>
    <row r="103" spans="1:2" x14ac:dyDescent="0.25">
      <c r="A103">
        <v>102</v>
      </c>
      <c r="B103">
        <v>1203</v>
      </c>
    </row>
    <row r="104" spans="1:2" x14ac:dyDescent="0.25">
      <c r="A104">
        <v>103</v>
      </c>
      <c r="B104">
        <v>1418</v>
      </c>
    </row>
    <row r="105" spans="1:2" x14ac:dyDescent="0.25">
      <c r="A105">
        <v>104</v>
      </c>
      <c r="B105">
        <v>1439</v>
      </c>
    </row>
    <row r="106" spans="1:2" x14ac:dyDescent="0.25">
      <c r="A106">
        <v>105</v>
      </c>
      <c r="B106">
        <v>934</v>
      </c>
    </row>
    <row r="107" spans="1:2" x14ac:dyDescent="0.25">
      <c r="A107">
        <v>106</v>
      </c>
      <c r="B107">
        <v>1014</v>
      </c>
    </row>
    <row r="108" spans="1:2" x14ac:dyDescent="0.25">
      <c r="A108">
        <v>107</v>
      </c>
      <c r="B108">
        <v>974</v>
      </c>
    </row>
    <row r="109" spans="1:2" x14ac:dyDescent="0.25">
      <c r="A109">
        <v>108</v>
      </c>
      <c r="B109">
        <v>1226</v>
      </c>
    </row>
    <row r="110" spans="1:2" x14ac:dyDescent="0.25">
      <c r="A110">
        <v>109</v>
      </c>
      <c r="B110">
        <v>632</v>
      </c>
    </row>
    <row r="111" spans="1:2" x14ac:dyDescent="0.25">
      <c r="A111">
        <v>110</v>
      </c>
      <c r="B111">
        <v>2070</v>
      </c>
    </row>
    <row r="112" spans="1:2" x14ac:dyDescent="0.25">
      <c r="A112">
        <v>111</v>
      </c>
      <c r="B112">
        <v>708</v>
      </c>
    </row>
    <row r="113" spans="1:2" x14ac:dyDescent="0.25">
      <c r="A113">
        <v>112</v>
      </c>
      <c r="B113">
        <v>411</v>
      </c>
    </row>
    <row r="114" spans="1:2" x14ac:dyDescent="0.25">
      <c r="A114">
        <v>113</v>
      </c>
      <c r="B114">
        <v>837</v>
      </c>
    </row>
    <row r="115" spans="1:2" x14ac:dyDescent="0.25">
      <c r="A115">
        <v>114</v>
      </c>
      <c r="B115">
        <v>1450</v>
      </c>
    </row>
    <row r="116" spans="1:2" x14ac:dyDescent="0.25">
      <c r="A116">
        <v>115</v>
      </c>
      <c r="B116">
        <v>1358</v>
      </c>
    </row>
    <row r="117" spans="1:2" x14ac:dyDescent="0.25">
      <c r="A117">
        <v>116</v>
      </c>
      <c r="B117">
        <v>1982</v>
      </c>
    </row>
    <row r="118" spans="1:2" x14ac:dyDescent="0.25">
      <c r="A118">
        <v>117</v>
      </c>
      <c r="B118">
        <v>908</v>
      </c>
    </row>
    <row r="119" spans="1:2" x14ac:dyDescent="0.25">
      <c r="A119">
        <v>118</v>
      </c>
      <c r="B119">
        <v>873</v>
      </c>
    </row>
    <row r="120" spans="1:2" x14ac:dyDescent="0.25">
      <c r="A120">
        <v>119</v>
      </c>
      <c r="B120">
        <v>957</v>
      </c>
    </row>
    <row r="121" spans="1:2" x14ac:dyDescent="0.25">
      <c r="A121">
        <v>120</v>
      </c>
      <c r="B121">
        <v>1677</v>
      </c>
    </row>
    <row r="122" spans="1:2" x14ac:dyDescent="0.25">
      <c r="A122">
        <v>121</v>
      </c>
      <c r="B122">
        <v>582</v>
      </c>
    </row>
    <row r="123" spans="1:2" x14ac:dyDescent="0.25">
      <c r="A123">
        <v>122</v>
      </c>
      <c r="B123">
        <v>1195</v>
      </c>
    </row>
    <row r="124" spans="1:2" x14ac:dyDescent="0.25">
      <c r="A124">
        <v>123</v>
      </c>
      <c r="B124">
        <v>713</v>
      </c>
    </row>
    <row r="125" spans="1:2" x14ac:dyDescent="0.25">
      <c r="A125">
        <v>124</v>
      </c>
      <c r="B125">
        <v>1136</v>
      </c>
    </row>
    <row r="126" spans="1:2" x14ac:dyDescent="0.25">
      <c r="A126">
        <v>125</v>
      </c>
      <c r="B126">
        <v>397</v>
      </c>
    </row>
    <row r="127" spans="1:2" x14ac:dyDescent="0.25">
      <c r="A127">
        <v>126</v>
      </c>
      <c r="B127">
        <v>2252</v>
      </c>
    </row>
    <row r="128" spans="1:2" x14ac:dyDescent="0.25">
      <c r="A128">
        <v>127</v>
      </c>
      <c r="B128">
        <v>436</v>
      </c>
    </row>
    <row r="129" spans="1:2" x14ac:dyDescent="0.25">
      <c r="A129">
        <v>128</v>
      </c>
      <c r="B129">
        <v>449</v>
      </c>
    </row>
    <row r="130" spans="1:2" x14ac:dyDescent="0.25">
      <c r="A130">
        <v>129</v>
      </c>
      <c r="B130">
        <v>569</v>
      </c>
    </row>
    <row r="131" spans="1:2" x14ac:dyDescent="0.25">
      <c r="A131">
        <v>130</v>
      </c>
      <c r="B131">
        <v>1135</v>
      </c>
    </row>
    <row r="132" spans="1:2" x14ac:dyDescent="0.25">
      <c r="A132">
        <v>131</v>
      </c>
      <c r="B132">
        <v>1108</v>
      </c>
    </row>
    <row r="133" spans="1:2" x14ac:dyDescent="0.25">
      <c r="A133">
        <v>132</v>
      </c>
      <c r="B133">
        <v>532</v>
      </c>
    </row>
    <row r="134" spans="1:2" x14ac:dyDescent="0.25">
      <c r="A134">
        <v>133</v>
      </c>
      <c r="B134">
        <v>251</v>
      </c>
    </row>
    <row r="135" spans="1:2" x14ac:dyDescent="0.25">
      <c r="A135">
        <v>134</v>
      </c>
      <c r="B135">
        <v>1241</v>
      </c>
    </row>
    <row r="136" spans="1:2" x14ac:dyDescent="0.25">
      <c r="A136">
        <v>135</v>
      </c>
      <c r="B136">
        <v>254</v>
      </c>
    </row>
    <row r="137" spans="1:2" x14ac:dyDescent="0.25">
      <c r="A137">
        <v>136</v>
      </c>
      <c r="B137">
        <v>241</v>
      </c>
    </row>
    <row r="138" spans="1:2" x14ac:dyDescent="0.25">
      <c r="A138">
        <v>137</v>
      </c>
      <c r="B138">
        <v>847</v>
      </c>
    </row>
    <row r="139" spans="1:2" x14ac:dyDescent="0.25">
      <c r="A139">
        <v>138</v>
      </c>
      <c r="B139">
        <v>1033</v>
      </c>
    </row>
    <row r="140" spans="1:2" x14ac:dyDescent="0.25">
      <c r="A140">
        <v>139</v>
      </c>
      <c r="B140">
        <v>883</v>
      </c>
    </row>
    <row r="141" spans="1:2" x14ac:dyDescent="0.25">
      <c r="A141">
        <v>140</v>
      </c>
      <c r="B141">
        <v>834</v>
      </c>
    </row>
    <row r="142" spans="1:2" x14ac:dyDescent="0.25">
      <c r="A142">
        <v>141</v>
      </c>
      <c r="B142">
        <v>986</v>
      </c>
    </row>
    <row r="143" spans="1:2" x14ac:dyDescent="0.25">
      <c r="A143">
        <v>142</v>
      </c>
      <c r="B143">
        <v>879</v>
      </c>
    </row>
    <row r="144" spans="1:2" x14ac:dyDescent="0.25">
      <c r="A144">
        <v>143</v>
      </c>
      <c r="B144">
        <v>1876</v>
      </c>
    </row>
    <row r="145" spans="1:2" x14ac:dyDescent="0.25">
      <c r="A145">
        <v>144</v>
      </c>
      <c r="B145">
        <v>825</v>
      </c>
    </row>
    <row r="146" spans="1:2" x14ac:dyDescent="0.25">
      <c r="A146">
        <v>145</v>
      </c>
      <c r="B146">
        <v>752</v>
      </c>
    </row>
    <row r="147" spans="1:2" x14ac:dyDescent="0.25">
      <c r="A147">
        <v>146</v>
      </c>
      <c r="B147">
        <v>1317</v>
      </c>
    </row>
    <row r="148" spans="1:2" x14ac:dyDescent="0.25">
      <c r="A148">
        <v>147</v>
      </c>
      <c r="B148">
        <v>656</v>
      </c>
    </row>
    <row r="149" spans="1:2" x14ac:dyDescent="0.25">
      <c r="A149">
        <v>148</v>
      </c>
      <c r="B149">
        <v>1717</v>
      </c>
    </row>
    <row r="150" spans="1:2" x14ac:dyDescent="0.25">
      <c r="A150">
        <v>149</v>
      </c>
      <c r="B150">
        <v>1382</v>
      </c>
    </row>
    <row r="151" spans="1:2" x14ac:dyDescent="0.25">
      <c r="A151">
        <v>150</v>
      </c>
      <c r="B151">
        <v>1359</v>
      </c>
    </row>
    <row r="152" spans="1:2" x14ac:dyDescent="0.25">
      <c r="A152">
        <v>151</v>
      </c>
      <c r="B152">
        <v>1420</v>
      </c>
    </row>
    <row r="153" spans="1:2" x14ac:dyDescent="0.25">
      <c r="A153">
        <v>152</v>
      </c>
      <c r="B153">
        <v>749</v>
      </c>
    </row>
    <row r="154" spans="1:2" x14ac:dyDescent="0.25">
      <c r="A154">
        <v>153</v>
      </c>
      <c r="B154">
        <v>557</v>
      </c>
    </row>
    <row r="155" spans="1:2" x14ac:dyDescent="0.25">
      <c r="A155">
        <v>154</v>
      </c>
      <c r="B155">
        <v>472</v>
      </c>
    </row>
    <row r="156" spans="1:2" x14ac:dyDescent="0.25">
      <c r="A156">
        <v>155</v>
      </c>
      <c r="B156">
        <v>461</v>
      </c>
    </row>
    <row r="157" spans="1:2" x14ac:dyDescent="0.25">
      <c r="A157">
        <v>156</v>
      </c>
      <c r="B157">
        <v>114</v>
      </c>
    </row>
    <row r="158" spans="1:2" x14ac:dyDescent="0.25">
      <c r="A158">
        <v>157</v>
      </c>
      <c r="B158">
        <v>691</v>
      </c>
    </row>
    <row r="159" spans="1:2" x14ac:dyDescent="0.25">
      <c r="A159">
        <v>158</v>
      </c>
      <c r="B159">
        <v>984</v>
      </c>
    </row>
    <row r="160" spans="1:2" x14ac:dyDescent="0.25">
      <c r="A160">
        <v>159</v>
      </c>
      <c r="B160">
        <v>399</v>
      </c>
    </row>
    <row r="161" spans="1:2" x14ac:dyDescent="0.25">
      <c r="A161">
        <v>160</v>
      </c>
      <c r="B161">
        <v>563</v>
      </c>
    </row>
    <row r="162" spans="1:2" x14ac:dyDescent="0.25">
      <c r="A162">
        <v>161</v>
      </c>
      <c r="B162">
        <v>1101</v>
      </c>
    </row>
    <row r="163" spans="1:2" x14ac:dyDescent="0.25">
      <c r="A163">
        <v>162</v>
      </c>
      <c r="B163">
        <v>427</v>
      </c>
    </row>
    <row r="164" spans="1:2" x14ac:dyDescent="0.25">
      <c r="A164">
        <v>163</v>
      </c>
      <c r="B164">
        <v>1308</v>
      </c>
    </row>
    <row r="165" spans="1:2" x14ac:dyDescent="0.25">
      <c r="A165">
        <v>164</v>
      </c>
      <c r="B165">
        <v>196</v>
      </c>
    </row>
    <row r="166" spans="1:2" x14ac:dyDescent="0.25">
      <c r="A166">
        <v>165</v>
      </c>
      <c r="B166">
        <v>1096</v>
      </c>
    </row>
    <row r="167" spans="1:2" x14ac:dyDescent="0.25">
      <c r="A167">
        <v>166</v>
      </c>
      <c r="B167">
        <v>470</v>
      </c>
    </row>
    <row r="168" spans="1:2" x14ac:dyDescent="0.25">
      <c r="A168">
        <v>167</v>
      </c>
      <c r="B168">
        <v>499</v>
      </c>
    </row>
    <row r="169" spans="1:2" x14ac:dyDescent="0.25">
      <c r="A169">
        <v>168</v>
      </c>
      <c r="B169">
        <v>720</v>
      </c>
    </row>
    <row r="170" spans="1:2" x14ac:dyDescent="0.25">
      <c r="A170">
        <v>169</v>
      </c>
      <c r="B170">
        <v>1282</v>
      </c>
    </row>
    <row r="171" spans="1:2" x14ac:dyDescent="0.25">
      <c r="A171">
        <v>170</v>
      </c>
      <c r="B171">
        <v>1095</v>
      </c>
    </row>
    <row r="172" spans="1:2" x14ac:dyDescent="0.25">
      <c r="A172">
        <v>171</v>
      </c>
      <c r="B172">
        <v>473</v>
      </c>
    </row>
    <row r="173" spans="1:2" x14ac:dyDescent="0.25">
      <c r="A173">
        <v>172</v>
      </c>
      <c r="B173">
        <v>612</v>
      </c>
    </row>
    <row r="174" spans="1:2" x14ac:dyDescent="0.25">
      <c r="A174">
        <v>173</v>
      </c>
      <c r="B174">
        <v>737</v>
      </c>
    </row>
    <row r="175" spans="1:2" x14ac:dyDescent="0.25">
      <c r="A175">
        <v>174</v>
      </c>
      <c r="B175">
        <v>572</v>
      </c>
    </row>
    <row r="176" spans="1:2" x14ac:dyDescent="0.25">
      <c r="A176">
        <v>175</v>
      </c>
      <c r="B176">
        <v>251</v>
      </c>
    </row>
    <row r="177" spans="1:2" x14ac:dyDescent="0.25">
      <c r="A177">
        <v>176</v>
      </c>
      <c r="B177">
        <v>884</v>
      </c>
    </row>
    <row r="178" spans="1:2" x14ac:dyDescent="0.25">
      <c r="A178">
        <v>177</v>
      </c>
      <c r="B178">
        <v>611</v>
      </c>
    </row>
    <row r="179" spans="1:2" x14ac:dyDescent="0.25">
      <c r="A179">
        <v>178</v>
      </c>
      <c r="B179">
        <v>1316</v>
      </c>
    </row>
    <row r="180" spans="1:2" x14ac:dyDescent="0.25">
      <c r="A180">
        <v>179</v>
      </c>
      <c r="B180">
        <v>722</v>
      </c>
    </row>
    <row r="181" spans="1:2" x14ac:dyDescent="0.25">
      <c r="A181">
        <v>180</v>
      </c>
      <c r="B181">
        <v>1267</v>
      </c>
    </row>
    <row r="182" spans="1:2" x14ac:dyDescent="0.25">
      <c r="A182">
        <v>181</v>
      </c>
      <c r="B182">
        <v>256</v>
      </c>
    </row>
    <row r="183" spans="1:2" x14ac:dyDescent="0.25">
      <c r="A183">
        <v>182</v>
      </c>
      <c r="B183">
        <v>1207</v>
      </c>
    </row>
    <row r="184" spans="1:2" x14ac:dyDescent="0.25">
      <c r="A184">
        <v>183</v>
      </c>
      <c r="B184">
        <v>493</v>
      </c>
    </row>
    <row r="185" spans="1:2" x14ac:dyDescent="0.25">
      <c r="A185">
        <v>184</v>
      </c>
      <c r="B185">
        <v>275</v>
      </c>
    </row>
    <row r="186" spans="1:2" x14ac:dyDescent="0.25">
      <c r="A186">
        <v>185</v>
      </c>
      <c r="B186">
        <v>694</v>
      </c>
    </row>
    <row r="187" spans="1:2" x14ac:dyDescent="0.25">
      <c r="A187">
        <v>186</v>
      </c>
      <c r="B187">
        <v>1078</v>
      </c>
    </row>
    <row r="188" spans="1:2" x14ac:dyDescent="0.25">
      <c r="A188">
        <v>187</v>
      </c>
      <c r="B188">
        <v>701</v>
      </c>
    </row>
    <row r="189" spans="1:2" x14ac:dyDescent="0.25">
      <c r="A189">
        <v>188</v>
      </c>
      <c r="B189">
        <v>1220</v>
      </c>
    </row>
    <row r="190" spans="1:2" x14ac:dyDescent="0.25">
      <c r="A190">
        <v>189</v>
      </c>
      <c r="B190">
        <v>1295</v>
      </c>
    </row>
    <row r="191" spans="1:2" x14ac:dyDescent="0.25">
      <c r="A191">
        <v>190</v>
      </c>
      <c r="B191">
        <v>1193</v>
      </c>
    </row>
    <row r="192" spans="1:2" x14ac:dyDescent="0.25">
      <c r="A192">
        <v>191</v>
      </c>
      <c r="B192">
        <v>963</v>
      </c>
    </row>
    <row r="193" spans="1:2" x14ac:dyDescent="0.25">
      <c r="A193">
        <v>192</v>
      </c>
      <c r="B193">
        <v>963</v>
      </c>
    </row>
    <row r="194" spans="1:2" x14ac:dyDescent="0.25">
      <c r="A194">
        <v>193</v>
      </c>
      <c r="B194">
        <v>1069</v>
      </c>
    </row>
    <row r="195" spans="1:2" x14ac:dyDescent="0.25">
      <c r="A195">
        <v>194</v>
      </c>
      <c r="B195">
        <v>1070</v>
      </c>
    </row>
    <row r="196" spans="1:2" x14ac:dyDescent="0.25">
      <c r="A196">
        <v>195</v>
      </c>
      <c r="B196">
        <v>173</v>
      </c>
    </row>
    <row r="197" spans="1:2" x14ac:dyDescent="0.25">
      <c r="A197">
        <v>196</v>
      </c>
      <c r="B197">
        <v>329</v>
      </c>
    </row>
    <row r="198" spans="1:2" x14ac:dyDescent="0.25">
      <c r="A198">
        <v>197</v>
      </c>
      <c r="B198">
        <v>1261</v>
      </c>
    </row>
    <row r="199" spans="1:2" x14ac:dyDescent="0.25">
      <c r="A199">
        <v>198</v>
      </c>
      <c r="B199">
        <v>358</v>
      </c>
    </row>
    <row r="200" spans="1:2" x14ac:dyDescent="0.25">
      <c r="A200">
        <v>199</v>
      </c>
      <c r="B200">
        <v>665</v>
      </c>
    </row>
    <row r="201" spans="1:2" x14ac:dyDescent="0.25">
      <c r="A201">
        <v>200</v>
      </c>
      <c r="B201">
        <v>1179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Data_Partition</vt:lpstr>
      <vt:lpstr>KNNC_Output</vt:lpstr>
      <vt:lpstr>KNNC_TrainingLiftChart</vt:lpstr>
      <vt:lpstr>KNNC_ValidationLiftChart</vt:lpstr>
      <vt:lpstr>KNNC_NewScore</vt:lpstr>
      <vt:lpstr>KNNC_Stored</vt:lpstr>
      <vt:lpstr>Customer</vt:lpstr>
    </vt:vector>
  </TitlesOfParts>
  <Company>Rochester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Jeff Ohlmann</cp:lastModifiedBy>
  <dcterms:created xsi:type="dcterms:W3CDTF">2002-12-09T20:39:42Z</dcterms:created>
  <dcterms:modified xsi:type="dcterms:W3CDTF">2015-10-24T05:44:10Z</dcterms:modified>
</cp:coreProperties>
</file>